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270D5421-6292-9B47-AAA5-A62DBEC23521}" xr6:coauthVersionLast="47" xr6:coauthVersionMax="47" xr10:uidLastSave="{00000000-0000-0000-0000-000000000000}"/>
  <bookViews>
    <workbookView xWindow="38320" yWindow="500" windowWidth="28800" windowHeight="17500" activeTab="1" xr2:uid="{A02BBCDD-A619-1E4A-8198-3C615694A07D}"/>
  </bookViews>
  <sheets>
    <sheet name="dose" sheetId="1" r:id="rId1"/>
    <sheet name="feces post ttmt - PA" sheetId="2" r:id="rId2"/>
    <sheet name="organs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04" i="2" l="1"/>
  <c r="Y105" i="2"/>
  <c r="X105" i="2"/>
  <c r="X104" i="2"/>
  <c r="V105" i="2"/>
  <c r="V104" i="2"/>
  <c r="Y83" i="2"/>
  <c r="Y84" i="2"/>
  <c r="X84" i="2"/>
  <c r="X83" i="2"/>
  <c r="V84" i="2"/>
  <c r="V83" i="2"/>
  <c r="Y62" i="2"/>
  <c r="Y63" i="2"/>
  <c r="X63" i="2"/>
  <c r="X62" i="2"/>
  <c r="V63" i="2"/>
  <c r="V62" i="2"/>
  <c r="Y41" i="2"/>
  <c r="Y42" i="2"/>
  <c r="X42" i="2"/>
  <c r="X41" i="2"/>
  <c r="V42" i="2"/>
  <c r="V41" i="2"/>
  <c r="Y20" i="2"/>
  <c r="Y21" i="2"/>
  <c r="X21" i="2"/>
  <c r="X20" i="2"/>
  <c r="V21" i="2"/>
  <c r="V20" i="2"/>
  <c r="P104" i="2"/>
  <c r="P105" i="2"/>
  <c r="O105" i="2"/>
  <c r="O104" i="2"/>
  <c r="M105" i="2"/>
  <c r="M104" i="2"/>
  <c r="P83" i="2"/>
  <c r="P84" i="2"/>
  <c r="O84" i="2"/>
  <c r="O83" i="2"/>
  <c r="M84" i="2"/>
  <c r="M83" i="2"/>
  <c r="P41" i="2"/>
  <c r="P42" i="2"/>
  <c r="O42" i="2"/>
  <c r="O41" i="2"/>
  <c r="M42" i="2"/>
  <c r="M41" i="2"/>
  <c r="P20" i="2"/>
  <c r="P21" i="2"/>
  <c r="O21" i="2"/>
  <c r="O20" i="2"/>
  <c r="M21" i="2"/>
  <c r="M20" i="2"/>
  <c r="G104" i="2"/>
  <c r="G105" i="2"/>
  <c r="F105" i="2"/>
  <c r="F104" i="2"/>
  <c r="D105" i="2"/>
  <c r="D104" i="2"/>
  <c r="G83" i="2"/>
  <c r="G84" i="2"/>
  <c r="F84" i="2"/>
  <c r="F83" i="2"/>
  <c r="D84" i="2"/>
  <c r="D83" i="2"/>
  <c r="G62" i="2"/>
  <c r="G63" i="2"/>
  <c r="F63" i="2"/>
  <c r="F62" i="2"/>
  <c r="D63" i="2"/>
  <c r="D62" i="2"/>
  <c r="G41" i="2"/>
  <c r="G42" i="2"/>
  <c r="F42" i="2"/>
  <c r="F41" i="2"/>
  <c r="D42" i="2"/>
  <c r="D41" i="2"/>
  <c r="G20" i="2"/>
  <c r="G21" i="2"/>
  <c r="F21" i="2"/>
  <c r="F20" i="2"/>
  <c r="D21" i="2"/>
  <c r="D20" i="2"/>
  <c r="Y103" i="2"/>
  <c r="X103" i="2"/>
  <c r="V103" i="2"/>
  <c r="Y82" i="2"/>
  <c r="X82" i="2"/>
  <c r="V82" i="2"/>
  <c r="Y61" i="2"/>
  <c r="X61" i="2"/>
  <c r="V61" i="2"/>
  <c r="Y40" i="2"/>
  <c r="X40" i="2"/>
  <c r="V40" i="2"/>
  <c r="Y19" i="2"/>
  <c r="X19" i="2"/>
  <c r="V19" i="2"/>
  <c r="P103" i="2"/>
  <c r="O103" i="2"/>
  <c r="M103" i="2"/>
  <c r="O82" i="2"/>
  <c r="M82" i="2"/>
  <c r="P82" i="2" s="1"/>
  <c r="P40" i="2"/>
  <c r="O40" i="2"/>
  <c r="M40" i="2"/>
  <c r="P19" i="2"/>
  <c r="O19" i="2"/>
  <c r="M19" i="2"/>
  <c r="G103" i="2"/>
  <c r="F103" i="2"/>
  <c r="D103" i="2"/>
  <c r="G82" i="2"/>
  <c r="F82" i="2"/>
  <c r="D82" i="2"/>
  <c r="G61" i="2"/>
  <c r="F61" i="2"/>
  <c r="D61" i="2"/>
  <c r="G40" i="2"/>
  <c r="F40" i="2"/>
  <c r="D40" i="2"/>
  <c r="G19" i="2"/>
  <c r="F19" i="2"/>
  <c r="D19" i="2"/>
  <c r="Y102" i="2"/>
  <c r="X102" i="2"/>
  <c r="V102" i="2"/>
  <c r="Y81" i="2"/>
  <c r="X81" i="2"/>
  <c r="V81" i="2"/>
  <c r="Y60" i="2"/>
  <c r="X60" i="2"/>
  <c r="V60" i="2"/>
  <c r="Y39" i="2"/>
  <c r="X39" i="2"/>
  <c r="V39" i="2"/>
  <c r="Y18" i="2"/>
  <c r="X18" i="2"/>
  <c r="V18" i="2"/>
  <c r="P102" i="2"/>
  <c r="O102" i="2"/>
  <c r="M102" i="2"/>
  <c r="P81" i="2"/>
  <c r="O81" i="2"/>
  <c r="M81" i="2"/>
  <c r="P39" i="2"/>
  <c r="O39" i="2"/>
  <c r="M39" i="2"/>
  <c r="P18" i="2"/>
  <c r="O18" i="2"/>
  <c r="M18" i="2"/>
  <c r="G102" i="2"/>
  <c r="F102" i="2"/>
  <c r="D102" i="2"/>
  <c r="G81" i="2"/>
  <c r="F81" i="2"/>
  <c r="D81" i="2"/>
  <c r="F60" i="2"/>
  <c r="D60" i="2"/>
  <c r="G60" i="2" s="1"/>
  <c r="F39" i="2"/>
  <c r="D39" i="2"/>
  <c r="G39" i="2" s="1"/>
  <c r="F18" i="2"/>
  <c r="D18" i="2"/>
  <c r="G18" i="2" s="1"/>
  <c r="V101" i="2" l="1"/>
  <c r="V80" i="2"/>
  <c r="V59" i="2"/>
  <c r="V38" i="2"/>
  <c r="V17" i="2"/>
  <c r="M101" i="2"/>
  <c r="M80" i="2"/>
  <c r="M38" i="2"/>
  <c r="M17" i="2"/>
  <c r="D101" i="2"/>
  <c r="D80" i="2"/>
  <c r="D59" i="2"/>
  <c r="D38" i="2"/>
  <c r="D17" i="2"/>
  <c r="X101" i="2"/>
  <c r="X100" i="2"/>
  <c r="V100" i="2"/>
  <c r="X80" i="2"/>
  <c r="Y80" i="2" s="1"/>
  <c r="X79" i="2"/>
  <c r="V79" i="2"/>
  <c r="X59" i="2"/>
  <c r="Y59" i="2" s="1"/>
  <c r="X58" i="2"/>
  <c r="V58" i="2"/>
  <c r="X38" i="2"/>
  <c r="X37" i="2"/>
  <c r="V37" i="2"/>
  <c r="X17" i="2"/>
  <c r="X16" i="2"/>
  <c r="V16" i="2"/>
  <c r="O101" i="2"/>
  <c r="P101" i="2" s="1"/>
  <c r="O100" i="2"/>
  <c r="M100" i="2"/>
  <c r="P100" i="2" s="1"/>
  <c r="O80" i="2"/>
  <c r="P80" i="2" s="1"/>
  <c r="O79" i="2"/>
  <c r="M79" i="2"/>
  <c r="O38" i="2"/>
  <c r="O37" i="2"/>
  <c r="M37" i="2"/>
  <c r="O17" i="2"/>
  <c r="O16" i="2"/>
  <c r="M16" i="2"/>
  <c r="F101" i="2"/>
  <c r="G101" i="2" s="1"/>
  <c r="F100" i="2"/>
  <c r="D100" i="2"/>
  <c r="F80" i="2"/>
  <c r="G80" i="2" s="1"/>
  <c r="F79" i="2"/>
  <c r="D79" i="2"/>
  <c r="F59" i="2"/>
  <c r="F58" i="2"/>
  <c r="D58" i="2"/>
  <c r="F38" i="2"/>
  <c r="G38" i="2" s="1"/>
  <c r="F37" i="2"/>
  <c r="D37" i="2"/>
  <c r="F17" i="2"/>
  <c r="F16" i="2"/>
  <c r="D16" i="2"/>
  <c r="X99" i="2"/>
  <c r="X98" i="2"/>
  <c r="V99" i="2"/>
  <c r="V98" i="2"/>
  <c r="X78" i="2"/>
  <c r="X77" i="2"/>
  <c r="V78" i="2"/>
  <c r="V77" i="2"/>
  <c r="X57" i="2"/>
  <c r="X56" i="2"/>
  <c r="V57" i="2"/>
  <c r="V56" i="2"/>
  <c r="X36" i="2"/>
  <c r="X35" i="2"/>
  <c r="V36" i="2"/>
  <c r="V35" i="2"/>
  <c r="X15" i="2"/>
  <c r="X14" i="2"/>
  <c r="V15" i="2"/>
  <c r="V14" i="2"/>
  <c r="O99" i="2"/>
  <c r="O98" i="2"/>
  <c r="M99" i="2"/>
  <c r="M98" i="2"/>
  <c r="O78" i="2"/>
  <c r="O77" i="2"/>
  <c r="M78" i="2"/>
  <c r="M77" i="2"/>
  <c r="O36" i="2"/>
  <c r="O35" i="2"/>
  <c r="M36" i="2"/>
  <c r="M35" i="2"/>
  <c r="O15" i="2"/>
  <c r="O14" i="2"/>
  <c r="M15" i="2"/>
  <c r="M14" i="2"/>
  <c r="F99" i="2"/>
  <c r="F98" i="2"/>
  <c r="D99" i="2"/>
  <c r="G99" i="2" s="1"/>
  <c r="D98" i="2"/>
  <c r="F78" i="2"/>
  <c r="F77" i="2"/>
  <c r="D78" i="2"/>
  <c r="D77" i="2"/>
  <c r="F57" i="2"/>
  <c r="F56" i="2"/>
  <c r="D57" i="2"/>
  <c r="D56" i="2"/>
  <c r="F36" i="2"/>
  <c r="F35" i="2"/>
  <c r="D36" i="2"/>
  <c r="G36" i="2" s="1"/>
  <c r="D35" i="2"/>
  <c r="F15" i="2"/>
  <c r="F14" i="2"/>
  <c r="D15" i="2"/>
  <c r="G15" i="2" s="1"/>
  <c r="D14" i="2"/>
  <c r="X97" i="2"/>
  <c r="X96" i="2"/>
  <c r="V97" i="2"/>
  <c r="V96" i="2"/>
  <c r="V76" i="2"/>
  <c r="X76" i="2"/>
  <c r="X75" i="2"/>
  <c r="V75" i="2"/>
  <c r="X55" i="2"/>
  <c r="X54" i="2"/>
  <c r="V55" i="2"/>
  <c r="V54" i="2"/>
  <c r="V34" i="2"/>
  <c r="X34" i="2"/>
  <c r="X33" i="2"/>
  <c r="V33" i="2"/>
  <c r="V13" i="2"/>
  <c r="X13" i="2"/>
  <c r="X12" i="2"/>
  <c r="V12" i="2"/>
  <c r="M97" i="2"/>
  <c r="O97" i="2"/>
  <c r="O96" i="2"/>
  <c r="M96" i="2"/>
  <c r="M76" i="2"/>
  <c r="O76" i="2"/>
  <c r="O75" i="2"/>
  <c r="M75" i="2"/>
  <c r="O34" i="2"/>
  <c r="M34" i="2"/>
  <c r="O33" i="2"/>
  <c r="M33" i="2"/>
  <c r="M13" i="2"/>
  <c r="O13" i="2"/>
  <c r="O12" i="2"/>
  <c r="M12" i="2"/>
  <c r="D97" i="2"/>
  <c r="F97" i="2"/>
  <c r="F96" i="2"/>
  <c r="D96" i="2"/>
  <c r="D76" i="2"/>
  <c r="F76" i="2"/>
  <c r="F75" i="2"/>
  <c r="D75" i="2"/>
  <c r="D55" i="2"/>
  <c r="F55" i="2"/>
  <c r="F54" i="2"/>
  <c r="D54" i="2"/>
  <c r="F34" i="2"/>
  <c r="D34" i="2"/>
  <c r="F33" i="2"/>
  <c r="D33" i="2"/>
  <c r="D13" i="2"/>
  <c r="F13" i="2"/>
  <c r="F12" i="2"/>
  <c r="D12" i="2"/>
  <c r="X95" i="2"/>
  <c r="X94" i="2"/>
  <c r="V95" i="2"/>
  <c r="X74" i="2"/>
  <c r="X73" i="2"/>
  <c r="V74" i="2"/>
  <c r="X53" i="2"/>
  <c r="X52" i="2"/>
  <c r="V53" i="2"/>
  <c r="X32" i="2"/>
  <c r="X31" i="2"/>
  <c r="V32" i="2"/>
  <c r="X11" i="2"/>
  <c r="X10" i="2"/>
  <c r="V11" i="2"/>
  <c r="O95" i="2"/>
  <c r="O94" i="2"/>
  <c r="M95" i="2"/>
  <c r="O74" i="2"/>
  <c r="O73" i="2"/>
  <c r="M74" i="2"/>
  <c r="O32" i="2"/>
  <c r="O31" i="2"/>
  <c r="M32" i="2"/>
  <c r="O11" i="2"/>
  <c r="O10" i="2"/>
  <c r="M11" i="2"/>
  <c r="F95" i="2"/>
  <c r="F94" i="2"/>
  <c r="D95" i="2"/>
  <c r="F74" i="2"/>
  <c r="F73" i="2"/>
  <c r="D74" i="2"/>
  <c r="F53" i="2"/>
  <c r="F52" i="2"/>
  <c r="D53" i="2"/>
  <c r="F32" i="2"/>
  <c r="D32" i="2"/>
  <c r="F31" i="2"/>
  <c r="F11" i="2"/>
  <c r="D11" i="2"/>
  <c r="F10" i="2"/>
  <c r="F7" i="3"/>
  <c r="F6" i="3"/>
  <c r="F5" i="3"/>
  <c r="F4" i="3"/>
  <c r="F3" i="3"/>
  <c r="F2" i="3"/>
  <c r="G5" i="3"/>
  <c r="O46" i="2"/>
  <c r="D7" i="3"/>
  <c r="G7" i="3" s="1"/>
  <c r="D6" i="3"/>
  <c r="D5" i="3"/>
  <c r="D4" i="3"/>
  <c r="G4" i="3" s="1"/>
  <c r="D3" i="3"/>
  <c r="D2" i="3"/>
  <c r="G2" i="3" s="1"/>
  <c r="O93" i="2"/>
  <c r="O71" i="2"/>
  <c r="O30" i="2"/>
  <c r="X93" i="2"/>
  <c r="X92" i="2"/>
  <c r="X90" i="2"/>
  <c r="X89" i="2"/>
  <c r="X88" i="2"/>
  <c r="X87" i="2"/>
  <c r="X86" i="2"/>
  <c r="X72" i="2"/>
  <c r="X71" i="2"/>
  <c r="X70" i="2"/>
  <c r="X69" i="2"/>
  <c r="X68" i="2"/>
  <c r="X67" i="2"/>
  <c r="X66" i="2"/>
  <c r="X65" i="2"/>
  <c r="X51" i="2"/>
  <c r="X50" i="2"/>
  <c r="X49" i="2"/>
  <c r="X48" i="2"/>
  <c r="X47" i="2"/>
  <c r="X46" i="2"/>
  <c r="X45" i="2"/>
  <c r="X44" i="2"/>
  <c r="V47" i="2"/>
  <c r="Y47" i="2" s="1"/>
  <c r="X30" i="2"/>
  <c r="X29" i="2"/>
  <c r="X28" i="2"/>
  <c r="X27" i="2"/>
  <c r="X26" i="2"/>
  <c r="X25" i="2"/>
  <c r="X24" i="2"/>
  <c r="X23" i="2"/>
  <c r="V87" i="2"/>
  <c r="V88" i="2"/>
  <c r="V89" i="2"/>
  <c r="V90" i="2"/>
  <c r="V91" i="2"/>
  <c r="V92" i="2"/>
  <c r="V93" i="2"/>
  <c r="V94" i="2"/>
  <c r="V86" i="2"/>
  <c r="V66" i="2"/>
  <c r="Y66" i="2" s="1"/>
  <c r="V67" i="2"/>
  <c r="V68" i="2"/>
  <c r="Y68" i="2" s="1"/>
  <c r="V69" i="2"/>
  <c r="V70" i="2"/>
  <c r="Y70" i="2" s="1"/>
  <c r="V71" i="2"/>
  <c r="V72" i="2"/>
  <c r="Y72" i="2" s="1"/>
  <c r="V73" i="2"/>
  <c r="V65" i="2"/>
  <c r="V45" i="2"/>
  <c r="V46" i="2"/>
  <c r="V48" i="2"/>
  <c r="V49" i="2"/>
  <c r="Y49" i="2" s="1"/>
  <c r="V50" i="2"/>
  <c r="V51" i="2"/>
  <c r="Y51" i="2" s="1"/>
  <c r="V52" i="2"/>
  <c r="V44" i="2"/>
  <c r="V24" i="2"/>
  <c r="V25" i="2"/>
  <c r="V26" i="2"/>
  <c r="Y26" i="2" s="1"/>
  <c r="V27" i="2"/>
  <c r="V28" i="2"/>
  <c r="V29" i="2"/>
  <c r="V30" i="2"/>
  <c r="Y30" i="2" s="1"/>
  <c r="V31" i="2"/>
  <c r="V23" i="2"/>
  <c r="V3" i="2"/>
  <c r="V4" i="2"/>
  <c r="V5" i="2"/>
  <c r="V6" i="2"/>
  <c r="V7" i="2"/>
  <c r="V8" i="2"/>
  <c r="V9" i="2"/>
  <c r="V10" i="2"/>
  <c r="Y10" i="2" s="1"/>
  <c r="V2" i="2"/>
  <c r="X9" i="2"/>
  <c r="X8" i="2"/>
  <c r="X7" i="2"/>
  <c r="X6" i="2"/>
  <c r="X5" i="2"/>
  <c r="X4" i="2"/>
  <c r="X3" i="2"/>
  <c r="X2" i="2"/>
  <c r="O92" i="2"/>
  <c r="O91" i="2"/>
  <c r="O90" i="2"/>
  <c r="O89" i="2"/>
  <c r="O88" i="2"/>
  <c r="O87" i="2"/>
  <c r="O86" i="2"/>
  <c r="M87" i="2"/>
  <c r="M88" i="2"/>
  <c r="M89" i="2"/>
  <c r="M90" i="2"/>
  <c r="M91" i="2"/>
  <c r="M92" i="2"/>
  <c r="M93" i="2"/>
  <c r="M94" i="2"/>
  <c r="M86" i="2"/>
  <c r="O72" i="2"/>
  <c r="O69" i="2"/>
  <c r="M66" i="2"/>
  <c r="M67" i="2"/>
  <c r="M68" i="2"/>
  <c r="M69" i="2"/>
  <c r="P69" i="2" s="1"/>
  <c r="M70" i="2"/>
  <c r="M71" i="2"/>
  <c r="M72" i="2"/>
  <c r="M73" i="2"/>
  <c r="M65" i="2"/>
  <c r="O68" i="2"/>
  <c r="O67" i="2"/>
  <c r="O66" i="2"/>
  <c r="O65" i="2"/>
  <c r="M45" i="2"/>
  <c r="M46" i="2"/>
  <c r="M47" i="2"/>
  <c r="M44" i="2"/>
  <c r="O45" i="2"/>
  <c r="O44" i="2"/>
  <c r="O29" i="2"/>
  <c r="O27" i="2"/>
  <c r="O26" i="2"/>
  <c r="O25" i="2"/>
  <c r="O24" i="2"/>
  <c r="O23" i="2"/>
  <c r="O9" i="2"/>
  <c r="O8" i="2"/>
  <c r="O7" i="2"/>
  <c r="O6" i="2"/>
  <c r="O5" i="2"/>
  <c r="O4" i="2"/>
  <c r="O3" i="2"/>
  <c r="O2" i="2"/>
  <c r="F93" i="2"/>
  <c r="F92" i="2"/>
  <c r="F91" i="2"/>
  <c r="F90" i="2"/>
  <c r="D87" i="2"/>
  <c r="D88" i="2"/>
  <c r="D89" i="2"/>
  <c r="D90" i="2"/>
  <c r="D91" i="2"/>
  <c r="D92" i="2"/>
  <c r="G92" i="2" s="1"/>
  <c r="D93" i="2"/>
  <c r="D94" i="2"/>
  <c r="D86" i="2"/>
  <c r="F89" i="2"/>
  <c r="F88" i="2"/>
  <c r="F87" i="2"/>
  <c r="F86" i="2"/>
  <c r="F72" i="2"/>
  <c r="F71" i="2"/>
  <c r="F70" i="2"/>
  <c r="F69" i="2"/>
  <c r="D66" i="2"/>
  <c r="D67" i="2"/>
  <c r="D68" i="2"/>
  <c r="D69" i="2"/>
  <c r="D70" i="2"/>
  <c r="D71" i="2"/>
  <c r="D72" i="2"/>
  <c r="D73" i="2"/>
  <c r="D65" i="2"/>
  <c r="F68" i="2"/>
  <c r="F67" i="2"/>
  <c r="F66" i="2"/>
  <c r="F65" i="2"/>
  <c r="D45" i="2"/>
  <c r="D46" i="2"/>
  <c r="D47" i="2"/>
  <c r="D48" i="2"/>
  <c r="D49" i="2"/>
  <c r="D50" i="2"/>
  <c r="D51" i="2"/>
  <c r="D52" i="2"/>
  <c r="D44" i="2"/>
  <c r="F51" i="2"/>
  <c r="F50" i="2"/>
  <c r="F49" i="2"/>
  <c r="F48" i="2"/>
  <c r="F47" i="2"/>
  <c r="F46" i="2"/>
  <c r="F45" i="2"/>
  <c r="F44" i="2"/>
  <c r="F30" i="2"/>
  <c r="F29" i="2"/>
  <c r="F28" i="2"/>
  <c r="F27" i="2"/>
  <c r="F26" i="2"/>
  <c r="F25" i="2"/>
  <c r="F24" i="2"/>
  <c r="F23" i="2"/>
  <c r="F9" i="2"/>
  <c r="F8" i="2"/>
  <c r="F7" i="2"/>
  <c r="F6" i="2"/>
  <c r="F5" i="2"/>
  <c r="F4" i="2"/>
  <c r="F3" i="2"/>
  <c r="F2" i="2"/>
  <c r="M31" i="2"/>
  <c r="M30" i="2"/>
  <c r="M29" i="2"/>
  <c r="M28" i="2"/>
  <c r="M27" i="2"/>
  <c r="M26" i="2"/>
  <c r="M25" i="2"/>
  <c r="M24" i="2"/>
  <c r="M23" i="2"/>
  <c r="M10" i="2"/>
  <c r="M9" i="2"/>
  <c r="M8" i="2"/>
  <c r="M7" i="2"/>
  <c r="M6" i="2"/>
  <c r="M5" i="2"/>
  <c r="M4" i="2"/>
  <c r="M3" i="2"/>
  <c r="M2" i="2"/>
  <c r="D31" i="2"/>
  <c r="D30" i="2"/>
  <c r="D29" i="2"/>
  <c r="D28" i="2"/>
  <c r="D27" i="2"/>
  <c r="D26" i="2"/>
  <c r="D25" i="2"/>
  <c r="D24" i="2"/>
  <c r="D23" i="2"/>
  <c r="D7" i="2"/>
  <c r="D8" i="2"/>
  <c r="D9" i="2"/>
  <c r="D10" i="2"/>
  <c r="D6" i="2"/>
  <c r="D5" i="2"/>
  <c r="D4" i="2"/>
  <c r="D3" i="2"/>
  <c r="D2" i="2"/>
  <c r="D3" i="1"/>
  <c r="D2" i="1"/>
  <c r="E2" i="1" s="1"/>
  <c r="F2" i="1" s="1"/>
  <c r="P17" i="2" l="1"/>
  <c r="P79" i="2"/>
  <c r="G16" i="2"/>
  <c r="Y100" i="2"/>
  <c r="G37" i="2"/>
  <c r="G58" i="2"/>
  <c r="Y17" i="2"/>
  <c r="G59" i="2"/>
  <c r="Y38" i="2"/>
  <c r="G14" i="2"/>
  <c r="G35" i="2"/>
  <c r="G56" i="2"/>
  <c r="G77" i="2"/>
  <c r="G98" i="2"/>
  <c r="P14" i="2"/>
  <c r="P35" i="2"/>
  <c r="P77" i="2"/>
  <c r="P98" i="2"/>
  <c r="Y14" i="2"/>
  <c r="Y35" i="2"/>
  <c r="Y56" i="2"/>
  <c r="Y77" i="2"/>
  <c r="Y98" i="2"/>
  <c r="Y101" i="2"/>
  <c r="P15" i="2"/>
  <c r="P99" i="2"/>
  <c r="Y15" i="2"/>
  <c r="Y78" i="2"/>
  <c r="Y99" i="2"/>
  <c r="Y16" i="2"/>
  <c r="Y37" i="2"/>
  <c r="P38" i="2"/>
  <c r="G57" i="2"/>
  <c r="P36" i="2"/>
  <c r="Y36" i="2"/>
  <c r="G78" i="2"/>
  <c r="P78" i="2"/>
  <c r="Y57" i="2"/>
  <c r="P16" i="2"/>
  <c r="P37" i="2"/>
  <c r="G79" i="2"/>
  <c r="G100" i="2"/>
  <c r="Y58" i="2"/>
  <c r="Y79" i="2"/>
  <c r="Y97" i="2"/>
  <c r="G17" i="2"/>
  <c r="Y55" i="2"/>
  <c r="G96" i="2"/>
  <c r="P34" i="2"/>
  <c r="P96" i="2"/>
  <c r="Y94" i="2"/>
  <c r="G34" i="2"/>
  <c r="Y33" i="2"/>
  <c r="Y75" i="2"/>
  <c r="P97" i="2"/>
  <c r="G97" i="2"/>
  <c r="G74" i="2"/>
  <c r="P74" i="2"/>
  <c r="Y11" i="2"/>
  <c r="Y54" i="2"/>
  <c r="Y96" i="2"/>
  <c r="P3" i="2"/>
  <c r="P7" i="2"/>
  <c r="P94" i="2"/>
  <c r="P12" i="2"/>
  <c r="Y73" i="2"/>
  <c r="P13" i="2"/>
  <c r="Y13" i="2"/>
  <c r="Y34" i="2"/>
  <c r="Y76" i="2"/>
  <c r="G31" i="2"/>
  <c r="G33" i="2"/>
  <c r="G55" i="2"/>
  <c r="G76" i="2"/>
  <c r="P75" i="2"/>
  <c r="Y12" i="2"/>
  <c r="G67" i="2"/>
  <c r="G68" i="2"/>
  <c r="G53" i="2"/>
  <c r="G13" i="2"/>
  <c r="G75" i="2"/>
  <c r="P33" i="2"/>
  <c r="P76" i="2"/>
  <c r="G54" i="2"/>
  <c r="P86" i="2"/>
  <c r="G12" i="2"/>
  <c r="G11" i="2"/>
  <c r="G73" i="2"/>
  <c r="P87" i="2"/>
  <c r="P4" i="2"/>
  <c r="Y45" i="2"/>
  <c r="Y46" i="2"/>
  <c r="G93" i="2"/>
  <c r="Y50" i="2"/>
  <c r="Y71" i="2"/>
  <c r="Y67" i="2"/>
  <c r="P5" i="2"/>
  <c r="P9" i="2"/>
  <c r="G52" i="2"/>
  <c r="P73" i="2"/>
  <c r="Y88" i="2"/>
  <c r="Y48" i="2"/>
  <c r="P32" i="2"/>
  <c r="G66" i="2"/>
  <c r="G5" i="2"/>
  <c r="G45" i="2"/>
  <c r="G49" i="2"/>
  <c r="G70" i="2"/>
  <c r="G9" i="2"/>
  <c r="P2" i="2"/>
  <c r="P10" i="2"/>
  <c r="P30" i="2"/>
  <c r="G47" i="2"/>
  <c r="G86" i="2"/>
  <c r="G88" i="2"/>
  <c r="G26" i="2"/>
  <c r="G50" i="2"/>
  <c r="P90" i="2"/>
  <c r="G65" i="2"/>
  <c r="G30" i="2"/>
  <c r="P24" i="2"/>
  <c r="G46" i="2"/>
  <c r="G72" i="2"/>
  <c r="Y8" i="2"/>
  <c r="G71" i="2"/>
  <c r="G94" i="2"/>
  <c r="P46" i="2"/>
  <c r="P67" i="2"/>
  <c r="P72" i="2"/>
  <c r="P68" i="2"/>
  <c r="P93" i="2"/>
  <c r="Y6" i="2"/>
  <c r="Y7" i="2"/>
  <c r="Y3" i="2"/>
  <c r="G32" i="2"/>
  <c r="G24" i="2"/>
  <c r="P26" i="2"/>
  <c r="P71" i="2"/>
  <c r="Y2" i="2"/>
  <c r="X91" i="2"/>
  <c r="Y91" i="2" s="1"/>
  <c r="P31" i="2"/>
  <c r="G87" i="2"/>
  <c r="P29" i="2"/>
  <c r="O70" i="2"/>
  <c r="P70" i="2" s="1"/>
  <c r="P65" i="2"/>
  <c r="P66" i="2"/>
  <c r="P92" i="2"/>
  <c r="P88" i="2"/>
  <c r="Y28" i="2"/>
  <c r="Y24" i="2"/>
  <c r="Y52" i="2"/>
  <c r="P11" i="2"/>
  <c r="Y32" i="2"/>
  <c r="Y74" i="2"/>
  <c r="O28" i="2"/>
  <c r="P28" i="2" s="1"/>
  <c r="P45" i="2"/>
  <c r="P89" i="2"/>
  <c r="G3" i="2"/>
  <c r="G7" i="2"/>
  <c r="G23" i="2"/>
  <c r="G69" i="2"/>
  <c r="G89" i="2"/>
  <c r="P44" i="2"/>
  <c r="P91" i="2"/>
  <c r="Y4" i="2"/>
  <c r="AD2" i="2"/>
  <c r="Y5" i="2"/>
  <c r="Y31" i="2"/>
  <c r="Y44" i="2"/>
  <c r="Y90" i="2"/>
  <c r="G95" i="2"/>
  <c r="Y53" i="2"/>
  <c r="Y23" i="2"/>
  <c r="Y9" i="2"/>
  <c r="G4" i="2"/>
  <c r="G10" i="2"/>
  <c r="G27" i="2"/>
  <c r="P25" i="2"/>
  <c r="G44" i="2"/>
  <c r="G91" i="2"/>
  <c r="Y27" i="2"/>
  <c r="Y86" i="2"/>
  <c r="Y87" i="2"/>
  <c r="P95" i="2"/>
  <c r="P6" i="2"/>
  <c r="G48" i="2"/>
  <c r="G90" i="2"/>
  <c r="G6" i="2"/>
  <c r="G8" i="2"/>
  <c r="G29" i="2"/>
  <c r="P23" i="2"/>
  <c r="P27" i="2"/>
  <c r="G51" i="2"/>
  <c r="Y29" i="2"/>
  <c r="Y25" i="2"/>
  <c r="Y93" i="2"/>
  <c r="Y89" i="2"/>
  <c r="Y65" i="2"/>
  <c r="Y95" i="2"/>
  <c r="G6" i="3"/>
  <c r="G3" i="3"/>
  <c r="Y92" i="2"/>
  <c r="Y69" i="2"/>
  <c r="P8" i="2"/>
  <c r="G28" i="2"/>
  <c r="G25" i="2"/>
  <c r="G2" i="2"/>
</calcChain>
</file>

<file path=xl/sharedStrings.xml><?xml version="1.0" encoding="utf-8"?>
<sst xmlns="http://schemas.openxmlformats.org/spreadsheetml/2006/main" count="395" uniqueCount="55">
  <si>
    <t>Colony Count</t>
  </si>
  <si>
    <t>Dilution Factor</t>
  </si>
  <si>
    <t>CFUs/50uL</t>
  </si>
  <si>
    <t>Average CFUs</t>
  </si>
  <si>
    <t>Log CFUs</t>
  </si>
  <si>
    <t>OD reached</t>
  </si>
  <si>
    <t>BL048 10^6 LB (LB irg5 plates)</t>
  </si>
  <si>
    <t>number of CFU (not diluted)</t>
  </si>
  <si>
    <t>mean in 10 µL</t>
  </si>
  <si>
    <t>Dilution factor</t>
  </si>
  <si>
    <t>feces weights (mg)</t>
  </si>
  <si>
    <t>Log10 CFU/g of feces</t>
  </si>
  <si>
    <t>day 3</t>
  </si>
  <si>
    <t>day 5</t>
  </si>
  <si>
    <t>day 7</t>
  </si>
  <si>
    <t>day 10</t>
  </si>
  <si>
    <t>day 14</t>
  </si>
  <si>
    <t>day 17</t>
  </si>
  <si>
    <t>day 21</t>
  </si>
  <si>
    <t>BL048 10^5.4 gp♀mouse 1</t>
  </si>
  <si>
    <t>BL048 10^5.4 gp♀mouse 2</t>
  </si>
  <si>
    <t>BL048 10^5.4 gp♀mouse 3</t>
  </si>
  <si>
    <t>BL048 10^5.4 gp♀mouse 4</t>
  </si>
  <si>
    <t>BL048 10^5.4 gp♀mouse 5</t>
  </si>
  <si>
    <t>BL048 10^5.4 indiv♀mouse 1</t>
  </si>
  <si>
    <t>BL048 10^5.4 indiv♀mouse 2</t>
  </si>
  <si>
    <t>BL048 10^5.4 indiv♀mouse 3</t>
  </si>
  <si>
    <t>BL048 10^5.4 indiv♀mouse 4</t>
  </si>
  <si>
    <t>BL048 10^5.4 indiv♀mouse 5</t>
  </si>
  <si>
    <t>BL048 10^5.4 gp ♂mouse 1</t>
  </si>
  <si>
    <t>BL048 10^5.4 gp ♂ mouse 2</t>
  </si>
  <si>
    <t>BL048 10^5.4 gp ♂ mouse 3</t>
  </si>
  <si>
    <t>BL048 10^5.4 gp ♂ mouse 4</t>
  </si>
  <si>
    <t>BL048 10^5.4 gp ♂ mouse 5</t>
  </si>
  <si>
    <t>day 1</t>
  </si>
  <si>
    <t>day 2</t>
  </si>
  <si>
    <t>euthanized</t>
  </si>
  <si>
    <t>small intestine</t>
  </si>
  <si>
    <t>caecum</t>
  </si>
  <si>
    <t>calon</t>
  </si>
  <si>
    <t>feces</t>
  </si>
  <si>
    <t>lung</t>
  </si>
  <si>
    <t>stomach</t>
  </si>
  <si>
    <t>Limit of detection</t>
  </si>
  <si>
    <t>day 24</t>
  </si>
  <si>
    <t>day 28</t>
  </si>
  <si>
    <t>day 31</t>
  </si>
  <si>
    <t>day 35</t>
  </si>
  <si>
    <t>day 38</t>
  </si>
  <si>
    <t>day 42</t>
  </si>
  <si>
    <t>day 45</t>
  </si>
  <si>
    <t>day 49</t>
  </si>
  <si>
    <t>day 52</t>
  </si>
  <si>
    <t xml:space="preserve">day 56 </t>
  </si>
  <si>
    <t>day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</si>
</sst>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165" fontId="4" fillId="0" borderId="0" xfId="0" applyNumberFormat="1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C73FA-5EDE-5943-8B04-88429EFA7FCC}">
  <dimension ref="A1:H3"/>
  <sheetViews>
    <sheetView workbookViewId="0">
      <selection activeCell="C4" sqref="C4"/>
    </sheetView>
  </sheetViews>
  <sheetFormatPr baseColWidth="10" defaultRowHeight="16" x14ac:dyDescent="0.2"/>
  <cols>
    <col min="2" max="2" width="15.83203125" customWidth="1"/>
    <col min="3" max="3" width="17.1640625" customWidth="1"/>
    <col min="4" max="4" width="15.5" customWidth="1"/>
    <col min="5" max="5" width="17.6640625" customWidth="1"/>
    <col min="6" max="6" width="13.1640625" customWidth="1"/>
    <col min="8" max="8" width="13.1640625" customWidth="1"/>
  </cols>
  <sheetData>
    <row r="1" spans="1:8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H1" s="2" t="s">
        <v>5</v>
      </c>
    </row>
    <row r="2" spans="1:8" x14ac:dyDescent="0.2">
      <c r="A2" s="21" t="s">
        <v>6</v>
      </c>
      <c r="B2" s="3">
        <v>48</v>
      </c>
      <c r="C2" s="4">
        <v>1000</v>
      </c>
      <c r="D2" s="4">
        <f t="shared" ref="D2:D3" si="0">B2*5*C2</f>
        <v>240000</v>
      </c>
      <c r="E2" s="23">
        <f>AVERAGE(D2:D3)</f>
        <v>280000</v>
      </c>
      <c r="F2" s="25">
        <f>LOG10(E2)</f>
        <v>5.4471580313422194</v>
      </c>
      <c r="H2" s="27">
        <v>0.27800000000000002</v>
      </c>
    </row>
    <row r="3" spans="1:8" x14ac:dyDescent="0.2">
      <c r="A3" s="22"/>
      <c r="B3" s="5">
        <v>64</v>
      </c>
      <c r="C3" s="6">
        <v>1000</v>
      </c>
      <c r="D3" s="6">
        <f t="shared" si="0"/>
        <v>320000</v>
      </c>
      <c r="E3" s="24"/>
      <c r="F3" s="26"/>
      <c r="H3" s="27"/>
    </row>
  </sheetData>
  <mergeCells count="4">
    <mergeCell ref="A2:A3"/>
    <mergeCell ref="E2:E3"/>
    <mergeCell ref="F2:F3"/>
    <mergeCell ref="H2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951B-B55F-1446-A8EF-03DCF9C7B5E4}">
  <dimension ref="A1:AD106"/>
  <sheetViews>
    <sheetView tabSelected="1" topLeftCell="L84" workbookViewId="0">
      <selection activeCell="W112" sqref="W112"/>
    </sheetView>
  </sheetViews>
  <sheetFormatPr baseColWidth="10" defaultRowHeight="16" x14ac:dyDescent="0.2"/>
  <cols>
    <col min="1" max="1" width="13.6640625" customWidth="1"/>
    <col min="5" max="5" width="10.83203125" style="10"/>
    <col min="6" max="6" width="12.5" style="10" customWidth="1"/>
    <col min="7" max="7" width="13.1640625" customWidth="1"/>
    <col min="10" max="10" width="14.83203125" customWidth="1"/>
    <col min="14" max="15" width="10.83203125" style="10"/>
    <col min="19" max="19" width="13.1640625" customWidth="1"/>
    <col min="23" max="24" width="10.83203125" style="10"/>
    <col min="25" max="25" width="10.83203125" style="11"/>
  </cols>
  <sheetData>
    <row r="1" spans="1:30" ht="46" customHeight="1" x14ac:dyDescent="0.2">
      <c r="A1" s="7" t="s">
        <v>19</v>
      </c>
      <c r="B1" s="28" t="s">
        <v>7</v>
      </c>
      <c r="C1" s="28"/>
      <c r="D1" s="8" t="s">
        <v>8</v>
      </c>
      <c r="E1" s="8" t="s">
        <v>9</v>
      </c>
      <c r="F1" s="8" t="s">
        <v>10</v>
      </c>
      <c r="G1" s="9" t="s">
        <v>11</v>
      </c>
      <c r="J1" s="7" t="s">
        <v>24</v>
      </c>
      <c r="K1" s="28" t="s">
        <v>7</v>
      </c>
      <c r="L1" s="28"/>
      <c r="M1" s="8" t="s">
        <v>8</v>
      </c>
      <c r="N1" s="8" t="s">
        <v>9</v>
      </c>
      <c r="O1" s="8" t="s">
        <v>10</v>
      </c>
      <c r="P1" s="9" t="s">
        <v>11</v>
      </c>
      <c r="S1" s="13" t="s">
        <v>29</v>
      </c>
      <c r="T1" s="29" t="s">
        <v>7</v>
      </c>
      <c r="U1" s="29"/>
      <c r="V1" s="14" t="s">
        <v>8</v>
      </c>
      <c r="W1" s="14" t="s">
        <v>9</v>
      </c>
      <c r="X1" s="14" t="s">
        <v>10</v>
      </c>
      <c r="Y1" s="15" t="s">
        <v>11</v>
      </c>
    </row>
    <row r="2" spans="1:30" x14ac:dyDescent="0.2">
      <c r="A2" s="10" t="s">
        <v>34</v>
      </c>
      <c r="B2">
        <v>10</v>
      </c>
      <c r="C2">
        <v>10</v>
      </c>
      <c r="D2">
        <f>AVERAGE(B2:C2)</f>
        <v>10</v>
      </c>
      <c r="E2" s="10">
        <v>10000</v>
      </c>
      <c r="F2" s="10">
        <f>1709.5-1688.4</f>
        <v>21.099999999999909</v>
      </c>
      <c r="G2" s="11">
        <f>LOG10(D2*100*E2/F2*1000)</f>
        <v>8.6757175447023087</v>
      </c>
      <c r="J2" s="10" t="s">
        <v>34</v>
      </c>
      <c r="K2">
        <v>7</v>
      </c>
      <c r="L2">
        <v>8</v>
      </c>
      <c r="M2">
        <f>AVERAGE(K2:L2)</f>
        <v>7.5</v>
      </c>
      <c r="N2" s="10">
        <v>1</v>
      </c>
      <c r="O2" s="10">
        <f>1708.3-1686</f>
        <v>22.299999999999955</v>
      </c>
      <c r="P2" s="11">
        <f>LOG10(M2*100*N2/O2*1000)</f>
        <v>4.5267564003435403</v>
      </c>
      <c r="S2" s="10" t="s">
        <v>34</v>
      </c>
      <c r="T2" s="17">
        <v>10</v>
      </c>
      <c r="U2" s="17">
        <v>11</v>
      </c>
      <c r="V2" s="17">
        <f>AVERAGE(T2:U2)</f>
        <v>10.5</v>
      </c>
      <c r="W2" s="16">
        <v>1</v>
      </c>
      <c r="X2" s="16">
        <f>1672.9-1647.3</f>
        <v>25.600000000000136</v>
      </c>
      <c r="Y2" s="18">
        <f>LOG10(V2*100*W2/X2*1000)</f>
        <v>4.6129493337580865</v>
      </c>
      <c r="AB2" t="s">
        <v>43</v>
      </c>
      <c r="AD2">
        <f>LOG10(V9*100*W9/X29*1000)</f>
        <v>2.4899914870597653</v>
      </c>
    </row>
    <row r="3" spans="1:30" x14ac:dyDescent="0.2">
      <c r="A3" s="10" t="s">
        <v>35</v>
      </c>
      <c r="B3">
        <v>37</v>
      </c>
      <c r="C3">
        <v>39</v>
      </c>
      <c r="D3">
        <f t="shared" ref="D3:D21" si="0">AVERAGE(B3:C3)</f>
        <v>38</v>
      </c>
      <c r="E3" s="10">
        <v>1000</v>
      </c>
      <c r="F3" s="10">
        <f>1784.2-1761.9</f>
        <v>22.299999999999955</v>
      </c>
      <c r="G3" s="11">
        <f>LOG10(D3*100*E3/F3*1000)</f>
        <v>8.2314787335686503</v>
      </c>
      <c r="J3" s="10" t="s">
        <v>35</v>
      </c>
      <c r="K3">
        <v>0</v>
      </c>
      <c r="L3">
        <v>0</v>
      </c>
      <c r="M3">
        <f t="shared" ref="M3:M21" si="1">AVERAGE(K3:L3)</f>
        <v>0</v>
      </c>
      <c r="N3" s="10">
        <v>1</v>
      </c>
      <c r="O3" s="10">
        <f>1852.6-1823.7</f>
        <v>28.899999999999864</v>
      </c>
      <c r="P3" s="11" t="e">
        <f>LOG10(M3*100*N3/O3*1000)</f>
        <v>#NUM!</v>
      </c>
      <c r="S3" s="10" t="s">
        <v>35</v>
      </c>
      <c r="T3" s="17">
        <v>34</v>
      </c>
      <c r="U3" s="17">
        <v>38</v>
      </c>
      <c r="V3" s="17">
        <f t="shared" ref="V3:V21" si="2">AVERAGE(T3:U3)</f>
        <v>36</v>
      </c>
      <c r="W3" s="16">
        <v>1000</v>
      </c>
      <c r="X3" s="16">
        <f>1908.6-1865.7</f>
        <v>42.899999999999864</v>
      </c>
      <c r="Y3" s="18">
        <f t="shared" ref="Y3:Y21" si="3">LOG10(V3*100*W3/X3*1000)</f>
        <v>7.9238452085825646</v>
      </c>
    </row>
    <row r="4" spans="1:30" x14ac:dyDescent="0.2">
      <c r="A4" s="10" t="s">
        <v>12</v>
      </c>
      <c r="B4">
        <v>51</v>
      </c>
      <c r="C4">
        <v>33</v>
      </c>
      <c r="D4">
        <f t="shared" si="0"/>
        <v>42</v>
      </c>
      <c r="E4" s="10">
        <v>1000</v>
      </c>
      <c r="F4" s="10">
        <f>1760.3-1735.1</f>
        <v>25.200000000000045</v>
      </c>
      <c r="G4" s="11">
        <f t="shared" ref="G4:G21" si="4">LOG10(D4*100*E4/F4*1000)</f>
        <v>8.2218487496163561</v>
      </c>
      <c r="J4" s="10" t="s">
        <v>12</v>
      </c>
      <c r="K4">
        <v>0</v>
      </c>
      <c r="L4">
        <v>0</v>
      </c>
      <c r="M4">
        <f t="shared" si="1"/>
        <v>0</v>
      </c>
      <c r="N4" s="10">
        <v>1</v>
      </c>
      <c r="O4" s="10">
        <f>1675.7-1660.4</f>
        <v>15.299999999999955</v>
      </c>
      <c r="P4" s="11" t="e">
        <f t="shared" ref="P4:P21" si="5">LOG10(M4*100*N4/O4*1000)</f>
        <v>#NUM!</v>
      </c>
      <c r="S4" s="10" t="s">
        <v>12</v>
      </c>
      <c r="T4" s="17">
        <v>34</v>
      </c>
      <c r="U4" s="17">
        <v>25</v>
      </c>
      <c r="V4" s="17">
        <f t="shared" si="2"/>
        <v>29.5</v>
      </c>
      <c r="W4" s="16">
        <v>1000</v>
      </c>
      <c r="X4" s="16">
        <f>1630.6-1614.2</f>
        <v>16.399999999999864</v>
      </c>
      <c r="Y4" s="18">
        <f t="shared" si="3"/>
        <v>8.254978167930469</v>
      </c>
    </row>
    <row r="5" spans="1:30" x14ac:dyDescent="0.2">
      <c r="A5" s="10" t="s">
        <v>13</v>
      </c>
      <c r="B5">
        <v>46</v>
      </c>
      <c r="C5">
        <v>57</v>
      </c>
      <c r="D5">
        <f t="shared" si="0"/>
        <v>51.5</v>
      </c>
      <c r="E5" s="10">
        <v>1000</v>
      </c>
      <c r="F5" s="10">
        <f>1820.1-1793.8</f>
        <v>26.299999999999955</v>
      </c>
      <c r="G5" s="11">
        <f t="shared" si="4"/>
        <v>8.2918514805514345</v>
      </c>
      <c r="J5" s="10" t="s">
        <v>13</v>
      </c>
      <c r="K5">
        <v>0</v>
      </c>
      <c r="L5">
        <v>0</v>
      </c>
      <c r="M5">
        <f t="shared" si="1"/>
        <v>0</v>
      </c>
      <c r="N5" s="10">
        <v>1</v>
      </c>
      <c r="O5" s="10">
        <f>1773.3-1742.6</f>
        <v>30.700000000000045</v>
      </c>
      <c r="P5" s="11" t="e">
        <f t="shared" si="5"/>
        <v>#NUM!</v>
      </c>
      <c r="S5" s="10" t="s">
        <v>13</v>
      </c>
      <c r="T5" s="17">
        <v>56</v>
      </c>
      <c r="U5" s="17">
        <v>60</v>
      </c>
      <c r="V5" s="17">
        <f t="shared" si="2"/>
        <v>58</v>
      </c>
      <c r="W5" s="16">
        <v>1000</v>
      </c>
      <c r="X5" s="16">
        <f>1756.9-1722.2</f>
        <v>34.700000000000045</v>
      </c>
      <c r="Y5" s="18">
        <f t="shared" si="3"/>
        <v>8.2230985187720638</v>
      </c>
    </row>
    <row r="6" spans="1:30" ht="17" x14ac:dyDescent="0.2">
      <c r="A6" s="8" t="s">
        <v>14</v>
      </c>
      <c r="B6" s="12">
        <v>8</v>
      </c>
      <c r="C6" s="12">
        <v>4</v>
      </c>
      <c r="D6">
        <f t="shared" si="0"/>
        <v>6</v>
      </c>
      <c r="E6" s="8">
        <v>10000</v>
      </c>
      <c r="F6" s="8">
        <f>1752.7-1729.3</f>
        <v>23.400000000000091</v>
      </c>
      <c r="G6" s="11">
        <f t="shared" si="4"/>
        <v>8.4089353929734987</v>
      </c>
      <c r="J6" s="8" t="s">
        <v>14</v>
      </c>
      <c r="K6" s="12">
        <v>0</v>
      </c>
      <c r="L6" s="12">
        <v>0</v>
      </c>
      <c r="M6">
        <f t="shared" si="1"/>
        <v>0</v>
      </c>
      <c r="N6" s="8">
        <v>1</v>
      </c>
      <c r="O6" s="8">
        <f>1763.4-1733</f>
        <v>30.400000000000091</v>
      </c>
      <c r="P6" s="11" t="e">
        <f t="shared" si="5"/>
        <v>#NUM!</v>
      </c>
      <c r="S6" s="8" t="s">
        <v>14</v>
      </c>
      <c r="T6" s="19">
        <v>19</v>
      </c>
      <c r="U6" s="19">
        <v>14</v>
      </c>
      <c r="V6" s="17">
        <f t="shared" si="2"/>
        <v>16.5</v>
      </c>
      <c r="W6" s="14">
        <v>1000</v>
      </c>
      <c r="X6" s="14">
        <f>1640.2-1615.1</f>
        <v>25.100000000000136</v>
      </c>
      <c r="Y6" s="18">
        <f t="shared" si="3"/>
        <v>7.8178102227328656</v>
      </c>
    </row>
    <row r="7" spans="1:30" x14ac:dyDescent="0.2">
      <c r="A7" s="10" t="s">
        <v>15</v>
      </c>
      <c r="B7">
        <v>47</v>
      </c>
      <c r="C7">
        <v>48</v>
      </c>
      <c r="D7">
        <f t="shared" si="0"/>
        <v>47.5</v>
      </c>
      <c r="E7" s="10">
        <v>1000</v>
      </c>
      <c r="F7" s="10">
        <f>1797.7-1773.9</f>
        <v>23.799999999999955</v>
      </c>
      <c r="G7" s="11">
        <f t="shared" si="4"/>
        <v>8.3001166525683558</v>
      </c>
      <c r="J7" s="10" t="s">
        <v>15</v>
      </c>
      <c r="K7">
        <v>0</v>
      </c>
      <c r="L7">
        <v>0</v>
      </c>
      <c r="M7">
        <f t="shared" si="1"/>
        <v>0</v>
      </c>
      <c r="N7" s="10">
        <v>1</v>
      </c>
      <c r="O7" s="10">
        <f>1882.7-1850.7</f>
        <v>32</v>
      </c>
      <c r="P7" s="11" t="e">
        <f t="shared" si="5"/>
        <v>#NUM!</v>
      </c>
      <c r="S7" s="10" t="s">
        <v>15</v>
      </c>
      <c r="T7" s="17">
        <v>14</v>
      </c>
      <c r="U7" s="17">
        <v>18</v>
      </c>
      <c r="V7" s="17">
        <f t="shared" si="2"/>
        <v>16</v>
      </c>
      <c r="W7" s="16">
        <v>100</v>
      </c>
      <c r="X7" s="16">
        <f>1869.2-1825.3</f>
        <v>43.900000000000091</v>
      </c>
      <c r="Y7" s="18">
        <f t="shared" si="3"/>
        <v>6.5616554624138024</v>
      </c>
    </row>
    <row r="8" spans="1:30" x14ac:dyDescent="0.2">
      <c r="A8" s="10" t="s">
        <v>16</v>
      </c>
      <c r="B8">
        <v>7</v>
      </c>
      <c r="C8">
        <v>9</v>
      </c>
      <c r="D8">
        <f t="shared" si="0"/>
        <v>8</v>
      </c>
      <c r="E8" s="10">
        <v>100</v>
      </c>
      <c r="F8" s="10">
        <f>1741.4-1710.7</f>
        <v>30.700000000000045</v>
      </c>
      <c r="G8" s="11">
        <f t="shared" si="4"/>
        <v>6.4159516115147568</v>
      </c>
      <c r="J8" s="10" t="s">
        <v>16</v>
      </c>
      <c r="K8">
        <v>0</v>
      </c>
      <c r="L8">
        <v>0</v>
      </c>
      <c r="M8">
        <f t="shared" si="1"/>
        <v>0</v>
      </c>
      <c r="N8" s="10">
        <v>1</v>
      </c>
      <c r="O8" s="10">
        <f>1714-1692.4</f>
        <v>21.599999999999909</v>
      </c>
      <c r="P8" s="11" t="e">
        <f t="shared" si="5"/>
        <v>#NUM!</v>
      </c>
      <c r="S8" s="10" t="s">
        <v>16</v>
      </c>
      <c r="T8" s="17">
        <v>41</v>
      </c>
      <c r="U8" s="17">
        <v>52</v>
      </c>
      <c r="V8" s="17">
        <f t="shared" si="2"/>
        <v>46.5</v>
      </c>
      <c r="W8" s="16">
        <v>10</v>
      </c>
      <c r="X8" s="16">
        <f>1796.7-1768.6</f>
        <v>28.100000000000136</v>
      </c>
      <c r="Y8" s="18">
        <f>LOG10(V8*100*W8/X8*1000)</f>
        <v>6.218746632984872</v>
      </c>
    </row>
    <row r="9" spans="1:30" x14ac:dyDescent="0.2">
      <c r="A9" s="10" t="s">
        <v>17</v>
      </c>
      <c r="B9">
        <v>1</v>
      </c>
      <c r="C9">
        <v>2</v>
      </c>
      <c r="D9">
        <f t="shared" si="0"/>
        <v>1.5</v>
      </c>
      <c r="E9" s="10">
        <v>1</v>
      </c>
      <c r="F9" s="10">
        <f>1703.6-1677.1</f>
        <v>26.5</v>
      </c>
      <c r="G9" s="11">
        <f>LOG10(D9*100*E9/F9*1000)</f>
        <v>3.7528453851188734</v>
      </c>
      <c r="J9" s="10" t="s">
        <v>17</v>
      </c>
      <c r="K9">
        <v>0</v>
      </c>
      <c r="L9">
        <v>0</v>
      </c>
      <c r="M9">
        <f t="shared" si="1"/>
        <v>0</v>
      </c>
      <c r="N9" s="10">
        <v>1</v>
      </c>
      <c r="O9" s="10">
        <f>1706.5-1682.9</f>
        <v>23.599999999999909</v>
      </c>
      <c r="P9" s="11" t="e">
        <f t="shared" si="5"/>
        <v>#NUM!</v>
      </c>
      <c r="S9" s="10" t="s">
        <v>17</v>
      </c>
      <c r="T9" s="17">
        <v>0</v>
      </c>
      <c r="U9" s="17">
        <v>1</v>
      </c>
      <c r="V9" s="17">
        <f t="shared" si="2"/>
        <v>0.5</v>
      </c>
      <c r="W9" s="16">
        <v>1</v>
      </c>
      <c r="X9" s="16">
        <f>1911.1-1831.2</f>
        <v>79.899999999999864</v>
      </c>
      <c r="Y9" s="18">
        <f>LOG10(V9*100*W9/X9*1000)</f>
        <v>2.796423225022028</v>
      </c>
    </row>
    <row r="10" spans="1:30" x14ac:dyDescent="0.2">
      <c r="A10" s="10" t="s">
        <v>18</v>
      </c>
      <c r="B10">
        <v>5</v>
      </c>
      <c r="C10">
        <v>2</v>
      </c>
      <c r="D10">
        <f t="shared" si="0"/>
        <v>3.5</v>
      </c>
      <c r="E10" s="10">
        <v>1</v>
      </c>
      <c r="F10" s="10">
        <f>1679.2-1647.2</f>
        <v>32</v>
      </c>
      <c r="G10" s="11">
        <f t="shared" si="4"/>
        <v>4.0389180660303694</v>
      </c>
      <c r="J10" s="10" t="s">
        <v>18</v>
      </c>
      <c r="K10">
        <v>0</v>
      </c>
      <c r="L10">
        <v>0</v>
      </c>
      <c r="M10">
        <f t="shared" si="1"/>
        <v>0</v>
      </c>
      <c r="N10" s="10">
        <v>1</v>
      </c>
      <c r="O10" s="10">
        <f>1680.4-1658.5</f>
        <v>21.900000000000091</v>
      </c>
      <c r="P10" s="11" t="e">
        <f t="shared" si="5"/>
        <v>#NUM!</v>
      </c>
      <c r="S10" s="10" t="s">
        <v>18</v>
      </c>
      <c r="T10" s="17">
        <v>4</v>
      </c>
      <c r="U10" s="17">
        <v>8</v>
      </c>
      <c r="V10" s="17">
        <f t="shared" si="2"/>
        <v>6</v>
      </c>
      <c r="W10" s="16">
        <v>1</v>
      </c>
      <c r="X10" s="16">
        <f>1782-1708.3</f>
        <v>73.700000000000045</v>
      </c>
      <c r="Y10" s="18">
        <f t="shared" si="3"/>
        <v>3.910683762524592</v>
      </c>
    </row>
    <row r="11" spans="1:30" x14ac:dyDescent="0.2">
      <c r="A11" s="10" t="s">
        <v>44</v>
      </c>
      <c r="B11">
        <v>0</v>
      </c>
      <c r="C11">
        <v>0</v>
      </c>
      <c r="D11">
        <f t="shared" si="0"/>
        <v>0</v>
      </c>
      <c r="E11" s="10">
        <v>1</v>
      </c>
      <c r="F11" s="10">
        <f>1809.1-1781.3</f>
        <v>27.799999999999955</v>
      </c>
      <c r="G11" s="11" t="e">
        <f t="shared" si="4"/>
        <v>#NUM!</v>
      </c>
      <c r="J11" s="10" t="s">
        <v>44</v>
      </c>
      <c r="K11">
        <v>0</v>
      </c>
      <c r="L11">
        <v>0</v>
      </c>
      <c r="M11">
        <f t="shared" si="1"/>
        <v>0</v>
      </c>
      <c r="N11" s="10">
        <v>1</v>
      </c>
      <c r="O11" s="10">
        <f>1707.1-1646.6</f>
        <v>60.5</v>
      </c>
      <c r="P11" s="11" t="e">
        <f t="shared" si="5"/>
        <v>#NUM!</v>
      </c>
      <c r="S11" s="10" t="s">
        <v>44</v>
      </c>
      <c r="T11" s="17">
        <v>9</v>
      </c>
      <c r="U11" s="17">
        <v>10</v>
      </c>
      <c r="V11" s="17">
        <f t="shared" si="2"/>
        <v>9.5</v>
      </c>
      <c r="W11" s="16">
        <v>1</v>
      </c>
      <c r="X11" s="16">
        <f>1767.7-1687.7</f>
        <v>80</v>
      </c>
      <c r="Y11" s="18">
        <f t="shared" si="3"/>
        <v>4.0746336182969038</v>
      </c>
    </row>
    <row r="12" spans="1:30" x14ac:dyDescent="0.2">
      <c r="A12" s="10" t="s">
        <v>45</v>
      </c>
      <c r="B12">
        <v>1</v>
      </c>
      <c r="C12">
        <v>8</v>
      </c>
      <c r="D12">
        <f t="shared" si="0"/>
        <v>4.5</v>
      </c>
      <c r="E12" s="10">
        <v>1</v>
      </c>
      <c r="F12" s="10">
        <f>1752-1691.8</f>
        <v>60.200000000000045</v>
      </c>
      <c r="G12" s="11">
        <f t="shared" si="4"/>
        <v>3.8736160225175187</v>
      </c>
      <c r="J12" s="10" t="s">
        <v>45</v>
      </c>
      <c r="K12">
        <v>0</v>
      </c>
      <c r="L12">
        <v>0</v>
      </c>
      <c r="M12">
        <f t="shared" si="1"/>
        <v>0</v>
      </c>
      <c r="N12" s="10">
        <v>1</v>
      </c>
      <c r="O12" s="10">
        <f>1737.5-1726.5</f>
        <v>11</v>
      </c>
      <c r="P12" s="11" t="e">
        <f t="shared" si="5"/>
        <v>#NUM!</v>
      </c>
      <c r="S12" s="10" t="s">
        <v>45</v>
      </c>
      <c r="T12" s="17">
        <v>0</v>
      </c>
      <c r="U12" s="17">
        <v>0</v>
      </c>
      <c r="V12" s="17">
        <f t="shared" si="2"/>
        <v>0</v>
      </c>
      <c r="W12" s="16">
        <v>1</v>
      </c>
      <c r="X12" s="16">
        <f>1788.9-1757.9</f>
        <v>31</v>
      </c>
      <c r="Y12" s="18" t="e">
        <f t="shared" si="3"/>
        <v>#NUM!</v>
      </c>
    </row>
    <row r="13" spans="1:30" x14ac:dyDescent="0.2">
      <c r="A13" s="10" t="s">
        <v>46</v>
      </c>
      <c r="B13">
        <v>13</v>
      </c>
      <c r="C13">
        <v>10</v>
      </c>
      <c r="D13">
        <f t="shared" si="0"/>
        <v>11.5</v>
      </c>
      <c r="E13" s="10">
        <v>1</v>
      </c>
      <c r="F13" s="10">
        <f>1828.8-1787.5</f>
        <v>41.299999999999955</v>
      </c>
      <c r="G13" s="11">
        <f t="shared" si="4"/>
        <v>4.4447477886972111</v>
      </c>
      <c r="J13" s="10" t="s">
        <v>46</v>
      </c>
      <c r="K13">
        <v>0</v>
      </c>
      <c r="L13">
        <v>0</v>
      </c>
      <c r="M13">
        <f t="shared" si="1"/>
        <v>0</v>
      </c>
      <c r="N13" s="10">
        <v>1</v>
      </c>
      <c r="O13" s="10">
        <f>1763.8-1748.6</f>
        <v>15.200000000000045</v>
      </c>
      <c r="P13" s="11" t="e">
        <f t="shared" si="5"/>
        <v>#NUM!</v>
      </c>
      <c r="S13" s="10" t="s">
        <v>46</v>
      </c>
      <c r="T13" s="17">
        <v>1</v>
      </c>
      <c r="U13" s="17">
        <v>1</v>
      </c>
      <c r="V13" s="17">
        <f t="shared" si="2"/>
        <v>1</v>
      </c>
      <c r="W13" s="16">
        <v>1</v>
      </c>
      <c r="X13" s="16">
        <f>1816.1-1771.2</f>
        <v>44.899999999999864</v>
      </c>
      <c r="Y13" s="18">
        <f t="shared" si="3"/>
        <v>3.3477536589966781</v>
      </c>
    </row>
    <row r="14" spans="1:30" x14ac:dyDescent="0.2">
      <c r="A14" s="10" t="s">
        <v>47</v>
      </c>
      <c r="B14">
        <v>0</v>
      </c>
      <c r="C14">
        <v>0</v>
      </c>
      <c r="D14">
        <f t="shared" si="0"/>
        <v>0</v>
      </c>
      <c r="E14" s="10">
        <v>1</v>
      </c>
      <c r="F14" s="10">
        <f>1714.2-1644.4</f>
        <v>69.799999999999955</v>
      </c>
      <c r="G14" s="11" t="e">
        <f t="shared" si="4"/>
        <v>#NUM!</v>
      </c>
      <c r="J14" s="10" t="s">
        <v>47</v>
      </c>
      <c r="K14">
        <v>0</v>
      </c>
      <c r="L14">
        <v>0</v>
      </c>
      <c r="M14">
        <f t="shared" si="1"/>
        <v>0</v>
      </c>
      <c r="N14" s="10">
        <v>1</v>
      </c>
      <c r="O14" s="10">
        <f>1807.9-1737.1</f>
        <v>70.800000000000182</v>
      </c>
      <c r="P14" s="11" t="e">
        <f t="shared" si="5"/>
        <v>#NUM!</v>
      </c>
      <c r="S14" s="10" t="s">
        <v>47</v>
      </c>
      <c r="T14" s="17">
        <v>0</v>
      </c>
      <c r="U14" s="17">
        <v>0</v>
      </c>
      <c r="V14" s="17">
        <f t="shared" si="2"/>
        <v>0</v>
      </c>
      <c r="W14" s="16">
        <v>1</v>
      </c>
      <c r="X14" s="16">
        <f>1645.5-1614.3</f>
        <v>31.200000000000045</v>
      </c>
      <c r="Y14" s="18" t="e">
        <f t="shared" si="3"/>
        <v>#NUM!</v>
      </c>
    </row>
    <row r="15" spans="1:30" x14ac:dyDescent="0.2">
      <c r="A15" s="10" t="s">
        <v>48</v>
      </c>
      <c r="B15">
        <v>0</v>
      </c>
      <c r="C15">
        <v>3</v>
      </c>
      <c r="D15">
        <f t="shared" si="0"/>
        <v>1.5</v>
      </c>
      <c r="E15" s="10">
        <v>1</v>
      </c>
      <c r="F15" s="10">
        <f>1603-1571.3</f>
        <v>31.700000000000045</v>
      </c>
      <c r="G15" s="11">
        <f t="shared" si="4"/>
        <v>3.6750319968379292</v>
      </c>
      <c r="J15" s="10" t="s">
        <v>48</v>
      </c>
      <c r="K15">
        <v>0</v>
      </c>
      <c r="L15">
        <v>0</v>
      </c>
      <c r="M15">
        <f t="shared" si="1"/>
        <v>0</v>
      </c>
      <c r="N15" s="10">
        <v>1</v>
      </c>
      <c r="O15" s="10">
        <f>1730.7-1709</f>
        <v>21.700000000000045</v>
      </c>
      <c r="P15" s="11" t="e">
        <f t="shared" si="5"/>
        <v>#NUM!</v>
      </c>
      <c r="S15" s="10" t="s">
        <v>48</v>
      </c>
      <c r="T15" s="17">
        <v>4</v>
      </c>
      <c r="U15" s="17">
        <v>3</v>
      </c>
      <c r="V15" s="17">
        <f t="shared" si="2"/>
        <v>3.5</v>
      </c>
      <c r="W15" s="16">
        <v>1</v>
      </c>
      <c r="X15" s="16">
        <f>1743-1626.5</f>
        <v>116.5</v>
      </c>
      <c r="Y15" s="18">
        <f t="shared" si="3"/>
        <v>3.477742118988238</v>
      </c>
    </row>
    <row r="16" spans="1:30" x14ac:dyDescent="0.2">
      <c r="A16" s="10" t="s">
        <v>49</v>
      </c>
      <c r="B16">
        <v>1</v>
      </c>
      <c r="C16">
        <v>0</v>
      </c>
      <c r="D16">
        <f t="shared" si="0"/>
        <v>0.5</v>
      </c>
      <c r="E16" s="10">
        <v>1</v>
      </c>
      <c r="F16" s="10">
        <f>1760.5-1742.2</f>
        <v>18.299999999999955</v>
      </c>
      <c r="G16" s="11">
        <f t="shared" si="4"/>
        <v>3.4365189146055903</v>
      </c>
      <c r="J16" s="10" t="s">
        <v>49</v>
      </c>
      <c r="K16">
        <v>0</v>
      </c>
      <c r="L16">
        <v>0</v>
      </c>
      <c r="M16">
        <f t="shared" si="1"/>
        <v>0</v>
      </c>
      <c r="N16" s="10">
        <v>1</v>
      </c>
      <c r="O16" s="10">
        <f>1711.6-1688.8</f>
        <v>22.799999999999955</v>
      </c>
      <c r="P16" s="11" t="e">
        <f t="shared" si="5"/>
        <v>#NUM!</v>
      </c>
      <c r="S16" s="10" t="s">
        <v>49</v>
      </c>
      <c r="T16" s="17">
        <v>0</v>
      </c>
      <c r="U16" s="17">
        <v>0</v>
      </c>
      <c r="V16" s="17">
        <f t="shared" si="2"/>
        <v>0</v>
      </c>
      <c r="W16" s="16">
        <v>1</v>
      </c>
      <c r="X16" s="16">
        <f>1775.3-1710.9</f>
        <v>64.399999999999864</v>
      </c>
      <c r="Y16" s="18" t="e">
        <f t="shared" si="3"/>
        <v>#NUM!</v>
      </c>
    </row>
    <row r="17" spans="1:25" x14ac:dyDescent="0.2">
      <c r="A17" s="10" t="s">
        <v>50</v>
      </c>
      <c r="B17">
        <v>0</v>
      </c>
      <c r="C17">
        <v>0</v>
      </c>
      <c r="D17">
        <f t="shared" si="0"/>
        <v>0</v>
      </c>
      <c r="E17" s="10">
        <v>1</v>
      </c>
      <c r="F17" s="10">
        <f>1826.9-1770.6</f>
        <v>56.300000000000182</v>
      </c>
      <c r="G17" s="11" t="e">
        <f t="shared" si="4"/>
        <v>#NUM!</v>
      </c>
      <c r="J17" s="10" t="s">
        <v>50</v>
      </c>
      <c r="K17">
        <v>0</v>
      </c>
      <c r="L17">
        <v>0</v>
      </c>
      <c r="M17">
        <f t="shared" si="1"/>
        <v>0</v>
      </c>
      <c r="N17" s="10">
        <v>1</v>
      </c>
      <c r="O17" s="10">
        <f>1921.7-1886.2</f>
        <v>35.5</v>
      </c>
      <c r="P17" s="11" t="e">
        <f t="shared" si="5"/>
        <v>#NUM!</v>
      </c>
      <c r="S17" s="10" t="s">
        <v>50</v>
      </c>
      <c r="T17" s="17">
        <v>13</v>
      </c>
      <c r="U17" s="17">
        <v>22</v>
      </c>
      <c r="V17" s="17">
        <f t="shared" si="2"/>
        <v>17.5</v>
      </c>
      <c r="W17" s="16">
        <v>1</v>
      </c>
      <c r="X17" s="16">
        <f>1657.2-1591.4</f>
        <v>65.799999999999955</v>
      </c>
      <c r="Y17" s="18">
        <f t="shared" si="3"/>
        <v>4.4248121550723392</v>
      </c>
    </row>
    <row r="18" spans="1:25" x14ac:dyDescent="0.2">
      <c r="A18" s="10" t="s">
        <v>51</v>
      </c>
      <c r="B18">
        <v>0</v>
      </c>
      <c r="C18">
        <v>0</v>
      </c>
      <c r="D18">
        <f t="shared" si="0"/>
        <v>0</v>
      </c>
      <c r="E18" s="10">
        <v>1</v>
      </c>
      <c r="F18" s="10">
        <f>1835.3-1746</f>
        <v>89.299999999999955</v>
      </c>
      <c r="G18" s="11" t="e">
        <f t="shared" si="4"/>
        <v>#NUM!</v>
      </c>
      <c r="J18" s="10" t="s">
        <v>51</v>
      </c>
      <c r="K18">
        <v>0</v>
      </c>
      <c r="L18">
        <v>0</v>
      </c>
      <c r="M18">
        <f t="shared" si="1"/>
        <v>0</v>
      </c>
      <c r="N18" s="10">
        <v>1</v>
      </c>
      <c r="O18" s="10">
        <f>1711.3-1663.8</f>
        <v>47.5</v>
      </c>
      <c r="P18" s="11" t="e">
        <f t="shared" si="5"/>
        <v>#NUM!</v>
      </c>
      <c r="S18" s="10" t="s">
        <v>51</v>
      </c>
      <c r="T18" s="17">
        <v>0</v>
      </c>
      <c r="U18" s="17">
        <v>0</v>
      </c>
      <c r="V18" s="17">
        <f t="shared" si="2"/>
        <v>0</v>
      </c>
      <c r="W18" s="16">
        <v>1</v>
      </c>
      <c r="X18" s="16">
        <f>1728.3-1681.6</f>
        <v>46.700000000000045</v>
      </c>
      <c r="Y18" s="18" t="e">
        <f t="shared" si="3"/>
        <v>#NUM!</v>
      </c>
    </row>
    <row r="19" spans="1:25" x14ac:dyDescent="0.2">
      <c r="A19" s="10" t="s">
        <v>52</v>
      </c>
      <c r="B19">
        <v>0</v>
      </c>
      <c r="C19">
        <v>0</v>
      </c>
      <c r="D19">
        <f t="shared" si="0"/>
        <v>0</v>
      </c>
      <c r="E19" s="10">
        <v>1</v>
      </c>
      <c r="F19" s="10">
        <f>1694.9-1655.8</f>
        <v>39.100000000000136</v>
      </c>
      <c r="G19" s="11" t="e">
        <f t="shared" si="4"/>
        <v>#NUM!</v>
      </c>
      <c r="J19" s="10" t="s">
        <v>52</v>
      </c>
      <c r="K19">
        <v>0</v>
      </c>
      <c r="L19">
        <v>0</v>
      </c>
      <c r="M19">
        <f t="shared" si="1"/>
        <v>0</v>
      </c>
      <c r="N19" s="10">
        <v>1</v>
      </c>
      <c r="O19" s="10">
        <f>1749.2-1668.6</f>
        <v>80.600000000000136</v>
      </c>
      <c r="P19" s="11" t="e">
        <f t="shared" si="5"/>
        <v>#NUM!</v>
      </c>
      <c r="S19" s="10" t="s">
        <v>52</v>
      </c>
      <c r="T19" s="17">
        <v>0</v>
      </c>
      <c r="U19" s="17">
        <v>1</v>
      </c>
      <c r="V19" s="17">
        <f t="shared" si="2"/>
        <v>0.5</v>
      </c>
      <c r="W19" s="16">
        <v>1</v>
      </c>
      <c r="X19" s="16">
        <f>1794.9-1726.7</f>
        <v>68.200000000000045</v>
      </c>
      <c r="Y19" s="18">
        <f t="shared" si="3"/>
        <v>2.8651856296795395</v>
      </c>
    </row>
    <row r="20" spans="1:25" x14ac:dyDescent="0.2">
      <c r="A20" s="10" t="s">
        <v>53</v>
      </c>
      <c r="B20">
        <v>0</v>
      </c>
      <c r="C20">
        <v>0</v>
      </c>
      <c r="D20">
        <f t="shared" si="0"/>
        <v>0</v>
      </c>
      <c r="E20" s="10">
        <v>1</v>
      </c>
      <c r="F20" s="10">
        <f>1635.9-1606.7</f>
        <v>29.200000000000045</v>
      </c>
      <c r="G20" s="11" t="e">
        <f t="shared" si="4"/>
        <v>#NUM!</v>
      </c>
      <c r="J20" s="10" t="s">
        <v>53</v>
      </c>
      <c r="K20">
        <v>0</v>
      </c>
      <c r="L20">
        <v>0</v>
      </c>
      <c r="M20">
        <f t="shared" si="1"/>
        <v>0</v>
      </c>
      <c r="N20" s="10">
        <v>1</v>
      </c>
      <c r="O20" s="10">
        <f>1733.3-1707</f>
        <v>26.299999999999955</v>
      </c>
      <c r="P20" s="11" t="e">
        <f t="shared" si="5"/>
        <v>#NUM!</v>
      </c>
      <c r="S20" s="10" t="s">
        <v>53</v>
      </c>
      <c r="T20" s="17">
        <v>11</v>
      </c>
      <c r="U20" s="17">
        <v>9</v>
      </c>
      <c r="V20" s="17">
        <f t="shared" si="2"/>
        <v>10</v>
      </c>
      <c r="W20" s="16">
        <v>1</v>
      </c>
      <c r="X20" s="16">
        <f>1922.3-1864.9</f>
        <v>57.399999999999864</v>
      </c>
      <c r="Y20" s="18">
        <f t="shared" si="3"/>
        <v>4.2410881076020273</v>
      </c>
    </row>
    <row r="21" spans="1:25" x14ac:dyDescent="0.2">
      <c r="A21" s="10" t="s">
        <v>54</v>
      </c>
      <c r="B21">
        <v>1</v>
      </c>
      <c r="C21">
        <v>5</v>
      </c>
      <c r="D21">
        <f t="shared" si="0"/>
        <v>3</v>
      </c>
      <c r="E21" s="10">
        <v>1</v>
      </c>
      <c r="F21" s="10">
        <f>1864.6-1819.1</f>
        <v>45.5</v>
      </c>
      <c r="G21" s="11">
        <f t="shared" si="4"/>
        <v>3.81910985806255</v>
      </c>
      <c r="J21" s="10" t="s">
        <v>54</v>
      </c>
      <c r="K21">
        <v>0</v>
      </c>
      <c r="L21">
        <v>0</v>
      </c>
      <c r="M21">
        <f t="shared" si="1"/>
        <v>0</v>
      </c>
      <c r="N21" s="10">
        <v>1</v>
      </c>
      <c r="O21" s="10">
        <f>1640.4-1607</f>
        <v>33.400000000000091</v>
      </c>
      <c r="P21" s="11" t="e">
        <f t="shared" si="5"/>
        <v>#NUM!</v>
      </c>
      <c r="S21" s="10" t="s">
        <v>54</v>
      </c>
      <c r="T21" s="17">
        <v>0</v>
      </c>
      <c r="U21" s="17">
        <v>5</v>
      </c>
      <c r="V21" s="17">
        <f t="shared" si="2"/>
        <v>2.5</v>
      </c>
      <c r="W21" s="16">
        <v>1</v>
      </c>
      <c r="X21" s="16">
        <f>1690.2-1669.2</f>
        <v>21</v>
      </c>
      <c r="Y21" s="18">
        <f t="shared" si="3"/>
        <v>4.075720713938118</v>
      </c>
    </row>
    <row r="22" spans="1:25" ht="51" x14ac:dyDescent="0.2">
      <c r="A22" s="7" t="s">
        <v>20</v>
      </c>
      <c r="B22" s="28" t="s">
        <v>7</v>
      </c>
      <c r="C22" s="28"/>
      <c r="D22" s="8" t="s">
        <v>8</v>
      </c>
      <c r="E22" s="8" t="s">
        <v>9</v>
      </c>
      <c r="F22" s="8" t="s">
        <v>10</v>
      </c>
      <c r="G22" s="9" t="s">
        <v>11</v>
      </c>
      <c r="J22" s="7" t="s">
        <v>25</v>
      </c>
      <c r="K22" s="28" t="s">
        <v>7</v>
      </c>
      <c r="L22" s="28"/>
      <c r="M22" s="8" t="s">
        <v>8</v>
      </c>
      <c r="N22" s="8" t="s">
        <v>9</v>
      </c>
      <c r="O22" s="8" t="s">
        <v>10</v>
      </c>
      <c r="P22" s="9" t="s">
        <v>11</v>
      </c>
      <c r="S22" s="13" t="s">
        <v>30</v>
      </c>
      <c r="T22" s="29" t="s">
        <v>7</v>
      </c>
      <c r="U22" s="29"/>
      <c r="V22" s="14" t="s">
        <v>8</v>
      </c>
      <c r="W22" s="14" t="s">
        <v>9</v>
      </c>
      <c r="X22" s="14" t="s">
        <v>10</v>
      </c>
      <c r="Y22" s="15" t="s">
        <v>11</v>
      </c>
    </row>
    <row r="23" spans="1:25" x14ac:dyDescent="0.2">
      <c r="A23" s="10" t="s">
        <v>34</v>
      </c>
      <c r="B23">
        <v>3</v>
      </c>
      <c r="C23">
        <v>3</v>
      </c>
      <c r="D23">
        <f>AVERAGE(B23:C23)</f>
        <v>3</v>
      </c>
      <c r="E23" s="10">
        <v>1</v>
      </c>
      <c r="F23" s="10">
        <f>1697.9-1685.1</f>
        <v>12.800000000000182</v>
      </c>
      <c r="G23" s="11">
        <f>LOG10(D23*100*E23/F23*1000)</f>
        <v>4.3699112850717876</v>
      </c>
      <c r="J23" s="10" t="s">
        <v>34</v>
      </c>
      <c r="K23">
        <v>25</v>
      </c>
      <c r="L23">
        <v>26</v>
      </c>
      <c r="M23">
        <f>AVERAGE(K23:L23)</f>
        <v>25.5</v>
      </c>
      <c r="N23" s="10">
        <v>1000</v>
      </c>
      <c r="O23" s="10">
        <f>1911-1892.5</f>
        <v>18.5</v>
      </c>
      <c r="P23" s="11">
        <f>LOG10(M23*100*N23/O23*1000)</f>
        <v>8.1393684520309417</v>
      </c>
      <c r="S23" s="10" t="s">
        <v>34</v>
      </c>
      <c r="T23" s="17">
        <v>8</v>
      </c>
      <c r="U23" s="17">
        <v>15</v>
      </c>
      <c r="V23" s="17">
        <f>AVERAGE(T23:U23)</f>
        <v>11.5</v>
      </c>
      <c r="W23" s="16">
        <v>1000</v>
      </c>
      <c r="X23" s="16">
        <f>1823.8-1806.1</f>
        <v>17.700000000000045</v>
      </c>
      <c r="Y23" s="18">
        <f>LOG10(V23*100*W23/X23*1000)</f>
        <v>7.8127245739918036</v>
      </c>
    </row>
    <row r="24" spans="1:25" x14ac:dyDescent="0.2">
      <c r="A24" s="10" t="s">
        <v>35</v>
      </c>
      <c r="B24">
        <v>7</v>
      </c>
      <c r="C24">
        <v>6</v>
      </c>
      <c r="D24">
        <f t="shared" ref="D24:D42" si="6">AVERAGE(B24:C24)</f>
        <v>6.5</v>
      </c>
      <c r="E24" s="10">
        <v>100</v>
      </c>
      <c r="F24" s="10">
        <f>1619.3-1607.4</f>
        <v>11.899999999999864</v>
      </c>
      <c r="G24" s="11">
        <f>LOG10(D24*100*E24/F24*1000)</f>
        <v>6.73736639525033</v>
      </c>
      <c r="J24" s="10" t="s">
        <v>35</v>
      </c>
      <c r="K24">
        <v>38</v>
      </c>
      <c r="L24">
        <v>28</v>
      </c>
      <c r="M24">
        <f t="shared" ref="M24:M42" si="7">AVERAGE(K24:L24)</f>
        <v>33</v>
      </c>
      <c r="N24" s="10">
        <v>1000</v>
      </c>
      <c r="O24" s="10">
        <f>1820.9-1801.4</f>
        <v>19.5</v>
      </c>
      <c r="P24" s="11">
        <f>LOG10(M24*100*N24/O24*1000)</f>
        <v>8.2284793285153697</v>
      </c>
      <c r="S24" s="10" t="s">
        <v>35</v>
      </c>
      <c r="T24" s="17">
        <v>14</v>
      </c>
      <c r="U24" s="17">
        <v>8</v>
      </c>
      <c r="V24" s="17">
        <f t="shared" ref="V24:V42" si="8">AVERAGE(T24:U24)</f>
        <v>11</v>
      </c>
      <c r="W24" s="16">
        <v>10000</v>
      </c>
      <c r="X24" s="16">
        <f>1663.6-1648.6</f>
        <v>15</v>
      </c>
      <c r="Y24" s="18">
        <f t="shared" ref="Y24:Y30" si="9">LOG10(V24*100*W24/X24*1000)</f>
        <v>8.865301426102544</v>
      </c>
    </row>
    <row r="25" spans="1:25" x14ac:dyDescent="0.2">
      <c r="A25" s="10" t="s">
        <v>12</v>
      </c>
      <c r="B25">
        <v>14</v>
      </c>
      <c r="C25">
        <v>17</v>
      </c>
      <c r="D25">
        <f t="shared" si="6"/>
        <v>15.5</v>
      </c>
      <c r="E25" s="10">
        <v>100</v>
      </c>
      <c r="F25" s="10">
        <f>1693.3-1681.5</f>
        <v>11.799999999999955</v>
      </c>
      <c r="G25" s="11">
        <f t="shared" ref="G25:G42" si="10">LOG10(D25*100*E25/F25*1000)</f>
        <v>7.1184496908641677</v>
      </c>
      <c r="J25" s="10" t="s">
        <v>12</v>
      </c>
      <c r="K25">
        <v>13</v>
      </c>
      <c r="L25">
        <v>23</v>
      </c>
      <c r="M25">
        <f t="shared" si="7"/>
        <v>18</v>
      </c>
      <c r="N25" s="10">
        <v>1000</v>
      </c>
      <c r="O25" s="10">
        <f>1731.9-1714.7</f>
        <v>17.200000000000045</v>
      </c>
      <c r="P25" s="11">
        <f t="shared" ref="P25:P42" si="11">LOG10(M25*100*N25/O25*1000)</f>
        <v>8.0197440581957569</v>
      </c>
      <c r="S25" s="10" t="s">
        <v>12</v>
      </c>
      <c r="T25" s="17">
        <v>28</v>
      </c>
      <c r="U25" s="17">
        <v>22</v>
      </c>
      <c r="V25" s="17">
        <f t="shared" si="8"/>
        <v>25</v>
      </c>
      <c r="W25" s="16">
        <v>1000</v>
      </c>
      <c r="X25" s="16">
        <f>1672.6-1641.5</f>
        <v>31.099999999999909</v>
      </c>
      <c r="Y25" s="18">
        <f t="shared" si="9"/>
        <v>7.9051796196452013</v>
      </c>
    </row>
    <row r="26" spans="1:25" x14ac:dyDescent="0.2">
      <c r="A26" s="10" t="s">
        <v>13</v>
      </c>
      <c r="B26">
        <v>17</v>
      </c>
      <c r="C26">
        <v>31</v>
      </c>
      <c r="D26">
        <f t="shared" si="6"/>
        <v>24</v>
      </c>
      <c r="E26" s="10">
        <v>100</v>
      </c>
      <c r="F26" s="10">
        <f>1886.1-1863.2</f>
        <v>22.899999999999864</v>
      </c>
      <c r="G26" s="11">
        <f t="shared" si="10"/>
        <v>7.0203757593717206</v>
      </c>
      <c r="J26" s="10" t="s">
        <v>13</v>
      </c>
      <c r="K26">
        <v>15</v>
      </c>
      <c r="L26">
        <v>12</v>
      </c>
      <c r="M26">
        <f t="shared" si="7"/>
        <v>13.5</v>
      </c>
      <c r="N26" s="10">
        <v>1000</v>
      </c>
      <c r="O26" s="10">
        <f>1724.9-1693.8</f>
        <v>31.100000000000136</v>
      </c>
      <c r="P26" s="11">
        <f t="shared" si="11"/>
        <v>7.6375733794681668</v>
      </c>
      <c r="S26" s="10" t="s">
        <v>13</v>
      </c>
      <c r="T26" s="17">
        <v>6</v>
      </c>
      <c r="U26" s="17">
        <v>3</v>
      </c>
      <c r="V26" s="17">
        <f t="shared" si="8"/>
        <v>4.5</v>
      </c>
      <c r="W26" s="16">
        <v>1000</v>
      </c>
      <c r="X26" s="16">
        <f>1675.6-1668.4</f>
        <v>7.1999999999998181</v>
      </c>
      <c r="Y26" s="18">
        <f t="shared" si="9"/>
        <v>7.7958800173440865</v>
      </c>
    </row>
    <row r="27" spans="1:25" ht="17" x14ac:dyDescent="0.2">
      <c r="A27" s="8" t="s">
        <v>14</v>
      </c>
      <c r="B27" s="12">
        <v>32</v>
      </c>
      <c r="C27" s="12">
        <v>28</v>
      </c>
      <c r="D27">
        <f t="shared" si="6"/>
        <v>30</v>
      </c>
      <c r="E27" s="8">
        <v>100</v>
      </c>
      <c r="F27" s="8">
        <f>1902.8-1876.6</f>
        <v>26.200000000000045</v>
      </c>
      <c r="G27" s="11">
        <f t="shared" si="10"/>
        <v>7.058819963399916</v>
      </c>
      <c r="J27" s="8" t="s">
        <v>14</v>
      </c>
      <c r="K27" s="12">
        <v>9</v>
      </c>
      <c r="L27" s="12">
        <v>6</v>
      </c>
      <c r="M27">
        <f t="shared" si="7"/>
        <v>7.5</v>
      </c>
      <c r="N27" s="8">
        <v>1000</v>
      </c>
      <c r="O27" s="8">
        <f>1760.4-1745.6</f>
        <v>14.800000000000182</v>
      </c>
      <c r="P27" s="11">
        <f t="shared" si="11"/>
        <v>7.7047995479967373</v>
      </c>
      <c r="S27" s="8" t="s">
        <v>14</v>
      </c>
      <c r="T27" s="19">
        <v>3</v>
      </c>
      <c r="U27" s="19">
        <v>6</v>
      </c>
      <c r="V27" s="17">
        <f t="shared" si="8"/>
        <v>4.5</v>
      </c>
      <c r="W27" s="14">
        <v>10000</v>
      </c>
      <c r="X27" s="14">
        <f>1656.9-1626.6</f>
        <v>30.300000000000182</v>
      </c>
      <c r="Y27" s="18">
        <f t="shared" si="9"/>
        <v>8.1717698852730365</v>
      </c>
    </row>
    <row r="28" spans="1:25" x14ac:dyDescent="0.2">
      <c r="A28" s="10" t="s">
        <v>15</v>
      </c>
      <c r="B28">
        <v>7</v>
      </c>
      <c r="C28">
        <v>5</v>
      </c>
      <c r="D28">
        <f t="shared" si="6"/>
        <v>6</v>
      </c>
      <c r="E28" s="10">
        <v>100</v>
      </c>
      <c r="F28" s="10">
        <f>1850.8-1820.5</f>
        <v>30.299999999999955</v>
      </c>
      <c r="G28" s="11">
        <f t="shared" si="10"/>
        <v>6.2967086218813391</v>
      </c>
      <c r="J28" s="10" t="s">
        <v>15</v>
      </c>
      <c r="K28">
        <v>3</v>
      </c>
      <c r="L28">
        <v>8</v>
      </c>
      <c r="M28">
        <f t="shared" si="7"/>
        <v>5.5</v>
      </c>
      <c r="N28" s="10">
        <v>10</v>
      </c>
      <c r="O28" s="20">
        <f>AVERAGE(O23:O27)</f>
        <v>20.220000000000073</v>
      </c>
      <c r="P28" s="11">
        <f t="shared" si="11"/>
        <v>5.4345815382392599</v>
      </c>
      <c r="S28" s="10" t="s">
        <v>15</v>
      </c>
      <c r="T28" s="17">
        <v>36</v>
      </c>
      <c r="U28" s="17">
        <v>42</v>
      </c>
      <c r="V28" s="17">
        <f t="shared" si="8"/>
        <v>39</v>
      </c>
      <c r="W28" s="16">
        <v>100</v>
      </c>
      <c r="X28" s="16">
        <f>1823.6-1768.3</f>
        <v>55.299999999999955</v>
      </c>
      <c r="Y28" s="18">
        <f t="shared" si="9"/>
        <v>6.8483394757218017</v>
      </c>
    </row>
    <row r="29" spans="1:25" x14ac:dyDescent="0.2">
      <c r="A29" s="10" t="s">
        <v>16</v>
      </c>
      <c r="B29">
        <v>1</v>
      </c>
      <c r="C29">
        <v>0</v>
      </c>
      <c r="D29">
        <f t="shared" si="6"/>
        <v>0.5</v>
      </c>
      <c r="E29" s="10">
        <v>1</v>
      </c>
      <c r="F29" s="10">
        <f>1729.9-1714.3</f>
        <v>15.600000000000136</v>
      </c>
      <c r="G29" s="11">
        <f t="shared" si="10"/>
        <v>3.5058454059815536</v>
      </c>
      <c r="J29" s="10" t="s">
        <v>16</v>
      </c>
      <c r="K29">
        <v>29</v>
      </c>
      <c r="L29">
        <v>18</v>
      </c>
      <c r="M29">
        <f t="shared" si="7"/>
        <v>23.5</v>
      </c>
      <c r="N29" s="10">
        <v>10</v>
      </c>
      <c r="O29" s="10">
        <f>1750.8-1724.1</f>
        <v>26.700000000000045</v>
      </c>
      <c r="P29" s="11">
        <f>LOG10(M29*100*N29/O29*1000)</f>
        <v>5.94455660090716</v>
      </c>
      <c r="S29" s="10" t="s">
        <v>16</v>
      </c>
      <c r="T29" s="17">
        <v>9</v>
      </c>
      <c r="U29" s="17">
        <v>9</v>
      </c>
      <c r="V29" s="17">
        <f t="shared" si="8"/>
        <v>9</v>
      </c>
      <c r="W29" s="16">
        <v>1</v>
      </c>
      <c r="X29" s="16">
        <f>1726.7-1564.9</f>
        <v>161.79999999999995</v>
      </c>
      <c r="Y29" s="18">
        <f t="shared" si="9"/>
        <v>3.7452639921630713</v>
      </c>
    </row>
    <row r="30" spans="1:25" x14ac:dyDescent="0.2">
      <c r="A30" s="10" t="s">
        <v>17</v>
      </c>
      <c r="B30">
        <v>3</v>
      </c>
      <c r="C30">
        <v>0</v>
      </c>
      <c r="D30">
        <f t="shared" si="6"/>
        <v>1.5</v>
      </c>
      <c r="E30" s="10">
        <v>1</v>
      </c>
      <c r="F30" s="10">
        <f>1726.9-1710.5</f>
        <v>16.400000000000091</v>
      </c>
      <c r="G30" s="11">
        <f t="shared" si="10"/>
        <v>3.9612474110079807</v>
      </c>
      <c r="J30" s="10" t="s">
        <v>17</v>
      </c>
      <c r="K30">
        <v>7</v>
      </c>
      <c r="L30">
        <v>7</v>
      </c>
      <c r="M30">
        <f t="shared" si="7"/>
        <v>7</v>
      </c>
      <c r="N30" s="10">
        <v>100</v>
      </c>
      <c r="O30" s="10">
        <f>1695.5-1660.1</f>
        <v>35.400000000000091</v>
      </c>
      <c r="P30" s="11">
        <f t="shared" si="11"/>
        <v>6.2960947779884675</v>
      </c>
      <c r="S30" s="10" t="s">
        <v>17</v>
      </c>
      <c r="T30" s="17">
        <v>0</v>
      </c>
      <c r="U30" s="17">
        <v>0</v>
      </c>
      <c r="V30" s="17">
        <f t="shared" si="8"/>
        <v>0</v>
      </c>
      <c r="W30" s="16">
        <v>1</v>
      </c>
      <c r="X30" s="16">
        <f>1776.7-1751.9</f>
        <v>24.799999999999955</v>
      </c>
      <c r="Y30" s="18" t="e">
        <f t="shared" si="9"/>
        <v>#NUM!</v>
      </c>
    </row>
    <row r="31" spans="1:25" x14ac:dyDescent="0.2">
      <c r="A31" s="10" t="s">
        <v>18</v>
      </c>
      <c r="B31">
        <v>22</v>
      </c>
      <c r="C31">
        <v>12</v>
      </c>
      <c r="D31">
        <f t="shared" si="6"/>
        <v>17</v>
      </c>
      <c r="E31" s="10">
        <v>1</v>
      </c>
      <c r="F31" s="10">
        <f>1817.6-1774.5</f>
        <v>43.099999999999909</v>
      </c>
      <c r="G31" s="11">
        <f t="shared" si="10"/>
        <v>4.5959716512175435</v>
      </c>
      <c r="J31" s="10" t="s">
        <v>18</v>
      </c>
      <c r="K31">
        <v>11</v>
      </c>
      <c r="L31">
        <v>6</v>
      </c>
      <c r="M31">
        <f t="shared" si="7"/>
        <v>8.5</v>
      </c>
      <c r="N31" s="10">
        <v>1000</v>
      </c>
      <c r="O31" s="10">
        <f>1656-1626.2</f>
        <v>29.799999999999955</v>
      </c>
      <c r="P31" s="11">
        <f t="shared" si="11"/>
        <v>7.4552026616380385</v>
      </c>
      <c r="S31" s="10" t="s">
        <v>18</v>
      </c>
      <c r="T31" s="17">
        <v>3</v>
      </c>
      <c r="U31" s="17">
        <v>3</v>
      </c>
      <c r="V31" s="17">
        <f t="shared" si="8"/>
        <v>3</v>
      </c>
      <c r="W31" s="16">
        <v>1</v>
      </c>
      <c r="X31" s="16">
        <f>1714.7-1691.2</f>
        <v>23.5</v>
      </c>
      <c r="Y31" s="18">
        <f>LOG10(V31*100*W31/X31*1000)</f>
        <v>4.1060533924479259</v>
      </c>
    </row>
    <row r="32" spans="1:25" x14ac:dyDescent="0.2">
      <c r="A32" s="10" t="s">
        <v>44</v>
      </c>
      <c r="B32">
        <v>6</v>
      </c>
      <c r="C32">
        <v>5</v>
      </c>
      <c r="D32">
        <f t="shared" si="6"/>
        <v>5.5</v>
      </c>
      <c r="E32" s="10">
        <v>10</v>
      </c>
      <c r="F32" s="10">
        <f>1828.4-1783.6</f>
        <v>44.800000000000182</v>
      </c>
      <c r="G32" s="11">
        <f t="shared" si="10"/>
        <v>5.0890846754960979</v>
      </c>
      <c r="J32" s="10" t="s">
        <v>44</v>
      </c>
      <c r="K32">
        <v>8</v>
      </c>
      <c r="L32">
        <v>12</v>
      </c>
      <c r="M32">
        <f t="shared" si="7"/>
        <v>10</v>
      </c>
      <c r="N32" s="10">
        <v>1</v>
      </c>
      <c r="O32" s="10">
        <f>1724.5-1707.5</f>
        <v>17</v>
      </c>
      <c r="P32" s="11">
        <f t="shared" si="11"/>
        <v>4.7695510786217259</v>
      </c>
      <c r="S32" s="10" t="s">
        <v>44</v>
      </c>
      <c r="T32" s="17">
        <v>1</v>
      </c>
      <c r="U32" s="17">
        <v>6</v>
      </c>
      <c r="V32" s="17">
        <f t="shared" si="8"/>
        <v>3.5</v>
      </c>
      <c r="W32" s="16">
        <v>1</v>
      </c>
      <c r="X32" s="16">
        <f>1670.6-1630.7</f>
        <v>39.899999999999864</v>
      </c>
      <c r="Y32" s="18">
        <f>LOG10(V32*100*W32/X32*1000)</f>
        <v>3.9430951486635291</v>
      </c>
    </row>
    <row r="33" spans="1:25" x14ac:dyDescent="0.2">
      <c r="A33" s="10" t="s">
        <v>45</v>
      </c>
      <c r="B33">
        <v>2</v>
      </c>
      <c r="C33">
        <v>10</v>
      </c>
      <c r="D33">
        <f t="shared" si="6"/>
        <v>6</v>
      </c>
      <c r="E33" s="10">
        <v>10</v>
      </c>
      <c r="F33" s="10">
        <f>1773.3-1710.3</f>
        <v>63</v>
      </c>
      <c r="G33" s="11">
        <f t="shared" si="10"/>
        <v>4.9788107009300617</v>
      </c>
      <c r="J33" s="10" t="s">
        <v>45</v>
      </c>
      <c r="K33">
        <v>3</v>
      </c>
      <c r="L33">
        <v>6</v>
      </c>
      <c r="M33">
        <f t="shared" si="7"/>
        <v>4.5</v>
      </c>
      <c r="N33" s="10">
        <v>10</v>
      </c>
      <c r="O33" s="10">
        <f>1710-1674.5</f>
        <v>35.5</v>
      </c>
      <c r="P33" s="11">
        <f t="shared" si="11"/>
        <v>5.1029841607202497</v>
      </c>
      <c r="S33" s="10" t="s">
        <v>45</v>
      </c>
      <c r="T33" s="17">
        <v>0</v>
      </c>
      <c r="U33" s="17">
        <v>1</v>
      </c>
      <c r="V33" s="17">
        <f t="shared" si="8"/>
        <v>0.5</v>
      </c>
      <c r="W33" s="16">
        <v>1</v>
      </c>
      <c r="X33" s="16">
        <f>1751.3-1683.6</f>
        <v>67.700000000000045</v>
      </c>
      <c r="Y33" s="18">
        <f t="shared" ref="Y33:Y42" si="12">LOG10(V33*100*W33/X33*1000)</f>
        <v>2.8683813356508741</v>
      </c>
    </row>
    <row r="34" spans="1:25" x14ac:dyDescent="0.2">
      <c r="A34" s="10" t="s">
        <v>46</v>
      </c>
      <c r="B34">
        <v>38</v>
      </c>
      <c r="C34">
        <v>36</v>
      </c>
      <c r="D34">
        <f t="shared" si="6"/>
        <v>37</v>
      </c>
      <c r="E34" s="10">
        <v>1</v>
      </c>
      <c r="F34" s="10">
        <f>1808.2-1772.2</f>
        <v>36</v>
      </c>
      <c r="G34" s="11">
        <f t="shared" si="10"/>
        <v>5.0118992232997073</v>
      </c>
      <c r="J34" s="10" t="s">
        <v>46</v>
      </c>
      <c r="K34">
        <v>38</v>
      </c>
      <c r="L34">
        <v>38</v>
      </c>
      <c r="M34">
        <f t="shared" si="7"/>
        <v>38</v>
      </c>
      <c r="N34" s="10">
        <v>1</v>
      </c>
      <c r="O34" s="10">
        <f>1696.4-1666.9</f>
        <v>29.5</v>
      </c>
      <c r="P34" s="11">
        <f t="shared" si="11"/>
        <v>5.1099615806386476</v>
      </c>
      <c r="S34" s="10" t="s">
        <v>46</v>
      </c>
      <c r="T34" s="17">
        <v>10</v>
      </c>
      <c r="U34" s="17">
        <v>4</v>
      </c>
      <c r="V34" s="17">
        <f t="shared" si="8"/>
        <v>7</v>
      </c>
      <c r="W34" s="16">
        <v>100</v>
      </c>
      <c r="X34" s="16">
        <f>1719.8-1658.4</f>
        <v>61.399999999999864</v>
      </c>
      <c r="Y34" s="18">
        <f t="shared" si="12"/>
        <v>6.0569296688730905</v>
      </c>
    </row>
    <row r="35" spans="1:25" x14ac:dyDescent="0.2">
      <c r="A35" s="10" t="s">
        <v>47</v>
      </c>
      <c r="B35">
        <v>17</v>
      </c>
      <c r="C35">
        <v>14</v>
      </c>
      <c r="D35">
        <f t="shared" si="6"/>
        <v>15.5</v>
      </c>
      <c r="E35" s="10">
        <v>1</v>
      </c>
      <c r="F35" s="10">
        <f>1817.8-1734.7</f>
        <v>83.099999999999909</v>
      </c>
      <c r="G35" s="11">
        <f t="shared" si="10"/>
        <v>4.270730674386181</v>
      </c>
      <c r="J35" s="10" t="s">
        <v>47</v>
      </c>
      <c r="K35">
        <v>11</v>
      </c>
      <c r="L35">
        <v>8</v>
      </c>
      <c r="M35">
        <f t="shared" si="7"/>
        <v>9.5</v>
      </c>
      <c r="N35" s="10">
        <v>1</v>
      </c>
      <c r="O35" s="10">
        <f>1852.3-1806.3</f>
        <v>46</v>
      </c>
      <c r="P35" s="11">
        <f t="shared" si="11"/>
        <v>4.3149657736072733</v>
      </c>
      <c r="S35" s="10" t="s">
        <v>47</v>
      </c>
      <c r="T35" s="17">
        <v>0</v>
      </c>
      <c r="U35" s="17">
        <v>0</v>
      </c>
      <c r="V35" s="17">
        <f t="shared" si="8"/>
        <v>0</v>
      </c>
      <c r="W35" s="16">
        <v>1</v>
      </c>
      <c r="X35" s="16">
        <f>1727.8-1621.4</f>
        <v>106.39999999999986</v>
      </c>
      <c r="Y35" s="18" t="e">
        <f t="shared" si="12"/>
        <v>#NUM!</v>
      </c>
    </row>
    <row r="36" spans="1:25" x14ac:dyDescent="0.2">
      <c r="A36" s="10" t="s">
        <v>48</v>
      </c>
      <c r="B36">
        <v>6</v>
      </c>
      <c r="C36">
        <v>7</v>
      </c>
      <c r="D36">
        <f t="shared" si="6"/>
        <v>6.5</v>
      </c>
      <c r="E36" s="10">
        <v>1</v>
      </c>
      <c r="F36" s="10">
        <f>1782.2-1696.1</f>
        <v>86.100000000000136</v>
      </c>
      <c r="G36" s="11">
        <f t="shared" si="10"/>
        <v>3.8779102051892003</v>
      </c>
      <c r="J36" s="10" t="s">
        <v>48</v>
      </c>
      <c r="K36">
        <v>1</v>
      </c>
      <c r="L36">
        <v>1</v>
      </c>
      <c r="M36">
        <f t="shared" si="7"/>
        <v>1</v>
      </c>
      <c r="N36" s="10">
        <v>1</v>
      </c>
      <c r="O36" s="10">
        <f>1609.6-1564.3</f>
        <v>45.299999999999955</v>
      </c>
      <c r="P36" s="11">
        <f t="shared" si="11"/>
        <v>3.3439017979871686</v>
      </c>
      <c r="S36" s="10" t="s">
        <v>48</v>
      </c>
      <c r="T36" s="17">
        <v>2</v>
      </c>
      <c r="U36" s="17">
        <v>0</v>
      </c>
      <c r="V36" s="17">
        <f t="shared" si="8"/>
        <v>1</v>
      </c>
      <c r="W36" s="16">
        <v>1</v>
      </c>
      <c r="X36" s="16">
        <f>1827.6-1787.6</f>
        <v>40</v>
      </c>
      <c r="Y36" s="18">
        <f t="shared" si="12"/>
        <v>3.3979400086720375</v>
      </c>
    </row>
    <row r="37" spans="1:25" x14ac:dyDescent="0.2">
      <c r="A37" s="10" t="s">
        <v>49</v>
      </c>
      <c r="B37">
        <v>15</v>
      </c>
      <c r="C37">
        <v>10</v>
      </c>
      <c r="D37">
        <f t="shared" si="6"/>
        <v>12.5</v>
      </c>
      <c r="E37" s="10">
        <v>1</v>
      </c>
      <c r="F37" s="10">
        <f>1729.8-1669.7</f>
        <v>60.099999999999909</v>
      </c>
      <c r="G37" s="11">
        <f t="shared" si="10"/>
        <v>4.3180355410053179</v>
      </c>
      <c r="J37" s="10" t="s">
        <v>49</v>
      </c>
      <c r="K37">
        <v>0</v>
      </c>
      <c r="L37">
        <v>0</v>
      </c>
      <c r="M37">
        <f t="shared" si="7"/>
        <v>0</v>
      </c>
      <c r="N37" s="10">
        <v>1</v>
      </c>
      <c r="O37" s="10">
        <f>1679-1660.6</f>
        <v>18.400000000000091</v>
      </c>
      <c r="P37" s="11" t="e">
        <f t="shared" si="11"/>
        <v>#NUM!</v>
      </c>
      <c r="S37" s="10" t="s">
        <v>49</v>
      </c>
      <c r="T37" s="17">
        <v>0</v>
      </c>
      <c r="U37" s="17">
        <v>0</v>
      </c>
      <c r="V37" s="17">
        <f t="shared" si="8"/>
        <v>0</v>
      </c>
      <c r="W37" s="16">
        <v>1</v>
      </c>
      <c r="X37" s="16">
        <f>1638.7-1608.7</f>
        <v>30</v>
      </c>
      <c r="Y37" s="18" t="e">
        <f t="shared" si="12"/>
        <v>#NUM!</v>
      </c>
    </row>
    <row r="38" spans="1:25" x14ac:dyDescent="0.2">
      <c r="A38" s="10" t="s">
        <v>50</v>
      </c>
      <c r="B38">
        <v>25</v>
      </c>
      <c r="C38">
        <v>29</v>
      </c>
      <c r="D38">
        <f t="shared" si="6"/>
        <v>27</v>
      </c>
      <c r="E38" s="10">
        <v>1</v>
      </c>
      <c r="F38" s="10">
        <f>1882.1-1840.8</f>
        <v>41.299999999999955</v>
      </c>
      <c r="G38" s="11">
        <f t="shared" si="10"/>
        <v>4.8154137125025871</v>
      </c>
      <c r="J38" s="10" t="s">
        <v>50</v>
      </c>
      <c r="K38">
        <v>44</v>
      </c>
      <c r="L38">
        <v>40</v>
      </c>
      <c r="M38">
        <f t="shared" si="7"/>
        <v>42</v>
      </c>
      <c r="N38" s="10">
        <v>1</v>
      </c>
      <c r="O38" s="10">
        <f>1804.2-1751.1</f>
        <v>53.100000000000136</v>
      </c>
      <c r="P38" s="11">
        <f t="shared" si="11"/>
        <v>4.89815476931643</v>
      </c>
      <c r="S38" s="10" t="s">
        <v>50</v>
      </c>
      <c r="T38" s="17">
        <v>0</v>
      </c>
      <c r="U38" s="17">
        <v>0</v>
      </c>
      <c r="V38" s="17">
        <f t="shared" si="8"/>
        <v>0</v>
      </c>
      <c r="W38" s="16">
        <v>1</v>
      </c>
      <c r="X38" s="16">
        <f>1754.8-1723.2</f>
        <v>31.599999999999909</v>
      </c>
      <c r="Y38" s="18" t="e">
        <f t="shared" si="12"/>
        <v>#NUM!</v>
      </c>
    </row>
    <row r="39" spans="1:25" x14ac:dyDescent="0.2">
      <c r="A39" s="10" t="s">
        <v>51</v>
      </c>
      <c r="B39">
        <v>17</v>
      </c>
      <c r="C39">
        <v>11</v>
      </c>
      <c r="D39">
        <f t="shared" si="6"/>
        <v>14</v>
      </c>
      <c r="E39" s="10">
        <v>1</v>
      </c>
      <c r="F39" s="10">
        <f>1800-1729.1</f>
        <v>70.900000000000091</v>
      </c>
      <c r="G39" s="11">
        <f t="shared" si="10"/>
        <v>4.2954818004951711</v>
      </c>
      <c r="J39" s="10" t="s">
        <v>51</v>
      </c>
      <c r="K39">
        <v>0</v>
      </c>
      <c r="L39">
        <v>0</v>
      </c>
      <c r="M39">
        <f t="shared" si="7"/>
        <v>0</v>
      </c>
      <c r="N39" s="10">
        <v>1</v>
      </c>
      <c r="O39" s="10">
        <f>1721.6-1678.8</f>
        <v>42.799999999999955</v>
      </c>
      <c r="P39" s="11" t="e">
        <f t="shared" si="11"/>
        <v>#NUM!</v>
      </c>
      <c r="S39" s="10" t="s">
        <v>51</v>
      </c>
      <c r="T39" s="17">
        <v>4</v>
      </c>
      <c r="U39" s="17">
        <v>9</v>
      </c>
      <c r="V39" s="17">
        <f t="shared" si="8"/>
        <v>6.5</v>
      </c>
      <c r="W39" s="16">
        <v>1</v>
      </c>
      <c r="X39" s="16">
        <f>1758.2-1675.3</f>
        <v>82.900000000000091</v>
      </c>
      <c r="Y39" s="18">
        <f t="shared" si="12"/>
        <v>3.8943588260925814</v>
      </c>
    </row>
    <row r="40" spans="1:25" x14ac:dyDescent="0.2">
      <c r="A40" s="10" t="s">
        <v>52</v>
      </c>
      <c r="B40">
        <v>2</v>
      </c>
      <c r="C40">
        <v>2</v>
      </c>
      <c r="D40">
        <f t="shared" si="6"/>
        <v>2</v>
      </c>
      <c r="E40" s="10">
        <v>1</v>
      </c>
      <c r="F40" s="10">
        <f>1766.2-1740.4</f>
        <v>25.799999999999955</v>
      </c>
      <c r="G40" s="11">
        <f t="shared" si="10"/>
        <v>3.8894102897007516</v>
      </c>
      <c r="J40" s="10" t="s">
        <v>52</v>
      </c>
      <c r="K40">
        <v>0</v>
      </c>
      <c r="L40">
        <v>0</v>
      </c>
      <c r="M40">
        <f t="shared" si="7"/>
        <v>0</v>
      </c>
      <c r="N40" s="10">
        <v>1</v>
      </c>
      <c r="O40" s="10">
        <f>1940.4-1929.8</f>
        <v>10.600000000000136</v>
      </c>
      <c r="P40" s="11" t="e">
        <f t="shared" si="11"/>
        <v>#NUM!</v>
      </c>
      <c r="S40" s="10" t="s">
        <v>52</v>
      </c>
      <c r="T40" s="17">
        <v>0</v>
      </c>
      <c r="U40" s="17">
        <v>0</v>
      </c>
      <c r="V40" s="17">
        <f t="shared" si="8"/>
        <v>0</v>
      </c>
      <c r="W40" s="16">
        <v>1</v>
      </c>
      <c r="X40" s="16">
        <f>1695.8-1639.7</f>
        <v>56.099999999999909</v>
      </c>
      <c r="Y40" s="18" t="e">
        <f t="shared" si="12"/>
        <v>#NUM!</v>
      </c>
    </row>
    <row r="41" spans="1:25" x14ac:dyDescent="0.2">
      <c r="A41" s="10" t="s">
        <v>53</v>
      </c>
      <c r="B41">
        <v>11</v>
      </c>
      <c r="C41">
        <v>8</v>
      </c>
      <c r="D41">
        <f t="shared" si="6"/>
        <v>9.5</v>
      </c>
      <c r="E41" s="10">
        <v>1</v>
      </c>
      <c r="F41" s="10">
        <f>1751.4-1719.4</f>
        <v>32</v>
      </c>
      <c r="G41" s="11">
        <f t="shared" si="10"/>
        <v>4.4725736269689422</v>
      </c>
      <c r="J41" s="10" t="s">
        <v>53</v>
      </c>
      <c r="K41">
        <v>0</v>
      </c>
      <c r="L41">
        <v>0</v>
      </c>
      <c r="M41">
        <f t="shared" si="7"/>
        <v>0</v>
      </c>
      <c r="N41" s="10">
        <v>1</v>
      </c>
      <c r="O41" s="10">
        <f>1712.2-1669.2</f>
        <v>43</v>
      </c>
      <c r="P41" s="11" t="e">
        <f t="shared" si="11"/>
        <v>#NUM!</v>
      </c>
      <c r="S41" s="10" t="s">
        <v>53</v>
      </c>
      <c r="T41" s="17">
        <v>0</v>
      </c>
      <c r="U41" s="17">
        <v>0</v>
      </c>
      <c r="V41" s="17">
        <f t="shared" si="8"/>
        <v>0</v>
      </c>
      <c r="W41" s="16">
        <v>1</v>
      </c>
      <c r="X41" s="16">
        <f>1730-1690.4</f>
        <v>39.599999999999909</v>
      </c>
      <c r="Y41" s="18" t="e">
        <f t="shared" si="12"/>
        <v>#NUM!</v>
      </c>
    </row>
    <row r="42" spans="1:25" x14ac:dyDescent="0.2">
      <c r="A42" s="10" t="s">
        <v>54</v>
      </c>
      <c r="B42">
        <v>3</v>
      </c>
      <c r="C42">
        <v>5</v>
      </c>
      <c r="D42">
        <f t="shared" si="6"/>
        <v>4</v>
      </c>
      <c r="E42" s="10">
        <v>1</v>
      </c>
      <c r="F42" s="10">
        <f>1900.8-1878.4</f>
        <v>22.399999999999864</v>
      </c>
      <c r="G42" s="11">
        <f t="shared" si="10"/>
        <v>4.251811972993802</v>
      </c>
      <c r="J42" s="10" t="s">
        <v>54</v>
      </c>
      <c r="K42">
        <v>0</v>
      </c>
      <c r="L42">
        <v>0</v>
      </c>
      <c r="M42">
        <f t="shared" si="7"/>
        <v>0</v>
      </c>
      <c r="N42" s="10">
        <v>1</v>
      </c>
      <c r="O42" s="10">
        <f>1725.7-1650</f>
        <v>75.700000000000045</v>
      </c>
      <c r="P42" s="11" t="e">
        <f t="shared" si="11"/>
        <v>#NUM!</v>
      </c>
      <c r="S42" s="10" t="s">
        <v>54</v>
      </c>
      <c r="T42" s="17">
        <v>0</v>
      </c>
      <c r="U42" s="17">
        <v>0</v>
      </c>
      <c r="V42" s="17">
        <f t="shared" si="8"/>
        <v>0</v>
      </c>
      <c r="W42" s="16">
        <v>1</v>
      </c>
      <c r="X42" s="16">
        <f>1756-1729.1</f>
        <v>26.900000000000091</v>
      </c>
      <c r="Y42" s="18" t="e">
        <f t="shared" si="12"/>
        <v>#NUM!</v>
      </c>
    </row>
    <row r="43" spans="1:25" ht="51" x14ac:dyDescent="0.2">
      <c r="A43" s="13" t="s">
        <v>21</v>
      </c>
      <c r="B43" s="29" t="s">
        <v>7</v>
      </c>
      <c r="C43" s="29"/>
      <c r="D43" s="14" t="s">
        <v>8</v>
      </c>
      <c r="E43" s="14" t="s">
        <v>9</v>
      </c>
      <c r="F43" s="14" t="s">
        <v>10</v>
      </c>
      <c r="G43" s="15" t="s">
        <v>11</v>
      </c>
      <c r="J43" s="13" t="s">
        <v>26</v>
      </c>
      <c r="K43" s="29" t="s">
        <v>7</v>
      </c>
      <c r="L43" s="29"/>
      <c r="M43" s="14" t="s">
        <v>8</v>
      </c>
      <c r="N43" s="14" t="s">
        <v>9</v>
      </c>
      <c r="O43" s="14" t="s">
        <v>10</v>
      </c>
      <c r="P43" s="15" t="s">
        <v>11</v>
      </c>
      <c r="S43" s="13" t="s">
        <v>31</v>
      </c>
      <c r="T43" s="29" t="s">
        <v>7</v>
      </c>
      <c r="U43" s="29"/>
      <c r="V43" s="14" t="s">
        <v>8</v>
      </c>
      <c r="W43" s="14" t="s">
        <v>9</v>
      </c>
      <c r="X43" s="14" t="s">
        <v>10</v>
      </c>
      <c r="Y43" s="15" t="s">
        <v>11</v>
      </c>
    </row>
    <row r="44" spans="1:25" x14ac:dyDescent="0.2">
      <c r="A44" s="10" t="s">
        <v>34</v>
      </c>
      <c r="B44" s="17">
        <v>20</v>
      </c>
      <c r="C44" s="17">
        <v>29</v>
      </c>
      <c r="D44" s="17">
        <f>AVERAGE(B44:C44)</f>
        <v>24.5</v>
      </c>
      <c r="E44" s="16">
        <v>1000</v>
      </c>
      <c r="F44" s="16">
        <f>1784.3-1740</f>
        <v>44.299999999999955</v>
      </c>
      <c r="G44" s="18">
        <f>LOG10(D44*100*E44/F44*1000)</f>
        <v>7.7427623581414631</v>
      </c>
      <c r="J44" s="10" t="s">
        <v>34</v>
      </c>
      <c r="K44" s="17">
        <v>0</v>
      </c>
      <c r="L44" s="17">
        <v>0</v>
      </c>
      <c r="M44" s="17">
        <f>AVERAGE(K44:L44)</f>
        <v>0</v>
      </c>
      <c r="N44" s="16">
        <v>1</v>
      </c>
      <c r="O44" s="16">
        <f>1682.8-1663</f>
        <v>19.799999999999955</v>
      </c>
      <c r="P44" s="18" t="e">
        <f>LOG10(M44*100*N44/O44*1000)</f>
        <v>#NUM!</v>
      </c>
      <c r="S44" s="10" t="s">
        <v>34</v>
      </c>
      <c r="T44" s="17">
        <v>0</v>
      </c>
      <c r="U44" s="17">
        <v>0</v>
      </c>
      <c r="V44" s="17">
        <f>AVERAGE(T44:U44)</f>
        <v>0</v>
      </c>
      <c r="W44" s="16">
        <v>1</v>
      </c>
      <c r="X44" s="16">
        <f>1778.2-1721.2</f>
        <v>57</v>
      </c>
      <c r="Y44" s="18" t="e">
        <f>LOG10(V44*100*W44/X44*1000)</f>
        <v>#NUM!</v>
      </c>
    </row>
    <row r="45" spans="1:25" x14ac:dyDescent="0.2">
      <c r="A45" s="10" t="s">
        <v>35</v>
      </c>
      <c r="B45" s="17">
        <v>5</v>
      </c>
      <c r="C45" s="17">
        <v>5</v>
      </c>
      <c r="D45" s="17">
        <f t="shared" ref="D45:D59" si="13">AVERAGE(B45:C45)</f>
        <v>5</v>
      </c>
      <c r="E45" s="16">
        <v>10000</v>
      </c>
      <c r="F45" s="16">
        <f>1781-1752.6</f>
        <v>28.400000000000091</v>
      </c>
      <c r="G45" s="18">
        <f t="shared" ref="G45:G63" si="14">LOG10(D45*100*E45/F45*1000)</f>
        <v>8.2456516642889799</v>
      </c>
      <c r="J45" s="10" t="s">
        <v>35</v>
      </c>
      <c r="K45" s="17">
        <v>5</v>
      </c>
      <c r="L45" s="17">
        <v>5</v>
      </c>
      <c r="M45" s="17">
        <f t="shared" ref="M45:M47" si="15">AVERAGE(K45:L45)</f>
        <v>5</v>
      </c>
      <c r="N45" s="16">
        <v>10</v>
      </c>
      <c r="O45" s="16">
        <f>1788.2-1786</f>
        <v>2.2000000000000455</v>
      </c>
      <c r="P45" s="18">
        <f>LOG10(M45*100*N45/O45*1000)</f>
        <v>6.3565473235138032</v>
      </c>
      <c r="S45" s="10" t="s">
        <v>35</v>
      </c>
      <c r="T45" s="17">
        <v>0</v>
      </c>
      <c r="U45" s="17">
        <v>0</v>
      </c>
      <c r="V45" s="17">
        <f t="shared" ref="V45:V63" si="16">AVERAGE(T45:U45)</f>
        <v>0</v>
      </c>
      <c r="W45" s="16">
        <v>1</v>
      </c>
      <c r="X45" s="16">
        <f>1770.7-1748.6</f>
        <v>22.100000000000136</v>
      </c>
      <c r="Y45" s="18" t="e">
        <f t="shared" ref="Y45:Y51" si="17">LOG10(V45*100*W45/X45*1000)</f>
        <v>#NUM!</v>
      </c>
    </row>
    <row r="46" spans="1:25" x14ac:dyDescent="0.2">
      <c r="A46" s="10" t="s">
        <v>12</v>
      </c>
      <c r="B46" s="17">
        <v>49</v>
      </c>
      <c r="C46" s="17">
        <v>62</v>
      </c>
      <c r="D46" s="17">
        <f t="shared" si="13"/>
        <v>55.5</v>
      </c>
      <c r="E46" s="16">
        <v>1000</v>
      </c>
      <c r="F46" s="16">
        <f>1799.9-1784.1</f>
        <v>15.800000000000182</v>
      </c>
      <c r="G46" s="18">
        <f t="shared" si="14"/>
        <v>8.5456358961682479</v>
      </c>
      <c r="J46" s="10" t="s">
        <v>12</v>
      </c>
      <c r="K46" s="17">
        <v>46</v>
      </c>
      <c r="L46" s="17"/>
      <c r="M46" s="17">
        <f t="shared" si="15"/>
        <v>46</v>
      </c>
      <c r="N46" s="16">
        <v>1000</v>
      </c>
      <c r="O46" s="16">
        <f>1887.2-1856.8</f>
        <v>30.400000000000091</v>
      </c>
      <c r="P46" s="18">
        <f>LOG10(M46*100*N46/O46*1000)</f>
        <v>8.1798842480728187</v>
      </c>
      <c r="S46" s="10" t="s">
        <v>12</v>
      </c>
      <c r="T46" s="17">
        <v>3</v>
      </c>
      <c r="U46" s="17">
        <v>2</v>
      </c>
      <c r="V46" s="17">
        <f t="shared" si="16"/>
        <v>2.5</v>
      </c>
      <c r="W46" s="16">
        <v>1</v>
      </c>
      <c r="X46" s="16">
        <f>1716.9-1698.3</f>
        <v>18.600000000000136</v>
      </c>
      <c r="Y46" s="18">
        <f t="shared" si="17"/>
        <v>4.1284270644541179</v>
      </c>
    </row>
    <row r="47" spans="1:25" x14ac:dyDescent="0.2">
      <c r="A47" s="10" t="s">
        <v>13</v>
      </c>
      <c r="B47" s="17">
        <v>7</v>
      </c>
      <c r="C47" s="17">
        <v>9</v>
      </c>
      <c r="D47" s="17">
        <f t="shared" si="13"/>
        <v>8</v>
      </c>
      <c r="E47" s="16">
        <v>1000</v>
      </c>
      <c r="F47" s="16">
        <f>1624.4-1615.6</f>
        <v>8.8000000000001819</v>
      </c>
      <c r="G47" s="18">
        <f t="shared" si="14"/>
        <v>7.9586073148417658</v>
      </c>
      <c r="J47" s="10" t="s">
        <v>13</v>
      </c>
      <c r="K47" s="17" t="s">
        <v>36</v>
      </c>
      <c r="L47" s="17"/>
      <c r="M47" s="17" t="e">
        <f t="shared" si="15"/>
        <v>#DIV/0!</v>
      </c>
      <c r="N47" s="16"/>
      <c r="O47" s="16"/>
      <c r="P47" s="18"/>
      <c r="S47" s="10" t="s">
        <v>13</v>
      </c>
      <c r="T47" s="17">
        <v>7</v>
      </c>
      <c r="U47" s="17">
        <v>3</v>
      </c>
      <c r="V47" s="17">
        <f t="shared" si="16"/>
        <v>5</v>
      </c>
      <c r="W47" s="16">
        <v>1</v>
      </c>
      <c r="X47" s="16">
        <f>1722.4-1692.8</f>
        <v>29.600000000000136</v>
      </c>
      <c r="Y47" s="18">
        <f t="shared" si="17"/>
        <v>4.2276782932770782</v>
      </c>
    </row>
    <row r="48" spans="1:25" ht="17" x14ac:dyDescent="0.2">
      <c r="A48" s="8" t="s">
        <v>14</v>
      </c>
      <c r="B48" s="19">
        <v>19</v>
      </c>
      <c r="C48" s="19">
        <v>23</v>
      </c>
      <c r="D48" s="17">
        <f t="shared" si="13"/>
        <v>21</v>
      </c>
      <c r="E48" s="14">
        <v>10000</v>
      </c>
      <c r="F48" s="14">
        <f>1782.4-1758.7</f>
        <v>23.700000000000045</v>
      </c>
      <c r="G48" s="18">
        <f t="shared" si="14"/>
        <v>8.9474709487238151</v>
      </c>
      <c r="J48" s="8"/>
      <c r="K48" s="19"/>
      <c r="L48" s="19"/>
      <c r="M48" s="17"/>
      <c r="N48" s="14"/>
      <c r="O48" s="14"/>
      <c r="P48" s="18"/>
      <c r="S48" s="8" t="s">
        <v>14</v>
      </c>
      <c r="T48" s="19">
        <v>7</v>
      </c>
      <c r="U48" s="19">
        <v>5</v>
      </c>
      <c r="V48" s="17">
        <f t="shared" si="16"/>
        <v>6</v>
      </c>
      <c r="W48" s="14">
        <v>10</v>
      </c>
      <c r="X48" s="14">
        <f>1747.4-1707.8</f>
        <v>39.600000000000136</v>
      </c>
      <c r="Y48" s="18">
        <f t="shared" si="17"/>
        <v>5.1804560644581299</v>
      </c>
    </row>
    <row r="49" spans="1:25" x14ac:dyDescent="0.2">
      <c r="A49" s="10" t="s">
        <v>15</v>
      </c>
      <c r="B49" s="17">
        <v>55</v>
      </c>
      <c r="C49" s="17">
        <v>45</v>
      </c>
      <c r="D49" s="17">
        <f t="shared" si="13"/>
        <v>50</v>
      </c>
      <c r="E49" s="16">
        <v>1000</v>
      </c>
      <c r="F49" s="16">
        <f>1878.6-1851.1</f>
        <v>27.5</v>
      </c>
      <c r="G49" s="18">
        <f t="shared" si="14"/>
        <v>8.2596373105057559</v>
      </c>
      <c r="J49" s="10"/>
      <c r="K49" s="17"/>
      <c r="L49" s="17"/>
      <c r="M49" s="17"/>
      <c r="N49" s="16"/>
      <c r="O49" s="16"/>
      <c r="P49" s="18"/>
      <c r="S49" s="10" t="s">
        <v>15</v>
      </c>
      <c r="T49" s="17">
        <v>2</v>
      </c>
      <c r="U49" s="17">
        <v>0</v>
      </c>
      <c r="V49" s="17">
        <f t="shared" si="16"/>
        <v>1</v>
      </c>
      <c r="W49" s="16">
        <v>1</v>
      </c>
      <c r="X49" s="16">
        <f>1700-1664.5</f>
        <v>35.5</v>
      </c>
      <c r="Y49" s="18">
        <f t="shared" si="17"/>
        <v>3.4497716469449058</v>
      </c>
    </row>
    <row r="50" spans="1:25" x14ac:dyDescent="0.2">
      <c r="A50" s="10" t="s">
        <v>16</v>
      </c>
      <c r="B50" s="17">
        <v>6</v>
      </c>
      <c r="C50" s="17"/>
      <c r="D50" s="17">
        <f t="shared" si="13"/>
        <v>6</v>
      </c>
      <c r="E50" s="16">
        <v>10</v>
      </c>
      <c r="F50" s="16">
        <f>1762.1-1741.6</f>
        <v>20.5</v>
      </c>
      <c r="G50" s="18">
        <f>LOG10(D50*100*E50/F50*1000)</f>
        <v>5.4663973893278897</v>
      </c>
      <c r="J50" s="10"/>
      <c r="K50" s="17"/>
      <c r="L50" s="17"/>
      <c r="M50" s="17"/>
      <c r="N50" s="16"/>
      <c r="O50" s="16"/>
      <c r="P50" s="18"/>
      <c r="S50" s="10" t="s">
        <v>16</v>
      </c>
      <c r="T50" s="17">
        <v>0</v>
      </c>
      <c r="U50" s="17">
        <v>0</v>
      </c>
      <c r="V50" s="17">
        <f t="shared" si="16"/>
        <v>0</v>
      </c>
      <c r="W50" s="16">
        <v>1</v>
      </c>
      <c r="X50" s="16">
        <f>1844.4-1805.6</f>
        <v>38.800000000000182</v>
      </c>
      <c r="Y50" s="18" t="e">
        <f t="shared" si="17"/>
        <v>#NUM!</v>
      </c>
    </row>
    <row r="51" spans="1:25" x14ac:dyDescent="0.2">
      <c r="A51" s="10" t="s">
        <v>17</v>
      </c>
      <c r="B51" s="17">
        <v>0</v>
      </c>
      <c r="C51" s="17">
        <v>0</v>
      </c>
      <c r="D51" s="17">
        <f t="shared" si="13"/>
        <v>0</v>
      </c>
      <c r="E51" s="16">
        <v>1</v>
      </c>
      <c r="F51" s="16">
        <f>1655.8-1628.9</f>
        <v>26.899999999999864</v>
      </c>
      <c r="G51" s="18" t="e">
        <f t="shared" si="14"/>
        <v>#NUM!</v>
      </c>
      <c r="J51" s="10"/>
      <c r="K51" s="17"/>
      <c r="L51" s="17"/>
      <c r="M51" s="17"/>
      <c r="N51" s="16"/>
      <c r="O51" s="16"/>
      <c r="P51" s="18"/>
      <c r="S51" s="10" t="s">
        <v>17</v>
      </c>
      <c r="T51" s="17">
        <v>0</v>
      </c>
      <c r="U51" s="17">
        <v>0</v>
      </c>
      <c r="V51" s="17">
        <f t="shared" si="16"/>
        <v>0</v>
      </c>
      <c r="W51" s="16">
        <v>1</v>
      </c>
      <c r="X51" s="16">
        <f>1767.6-1709</f>
        <v>58.599999999999909</v>
      </c>
      <c r="Y51" s="18" t="e">
        <f t="shared" si="17"/>
        <v>#NUM!</v>
      </c>
    </row>
    <row r="52" spans="1:25" x14ac:dyDescent="0.2">
      <c r="A52" s="10" t="s">
        <v>18</v>
      </c>
      <c r="B52" s="17">
        <v>1</v>
      </c>
      <c r="C52" s="17">
        <v>0</v>
      </c>
      <c r="D52" s="17">
        <f t="shared" si="13"/>
        <v>0.5</v>
      </c>
      <c r="E52" s="16">
        <v>1</v>
      </c>
      <c r="F52" s="16">
        <f>1776.3-1730.2</f>
        <v>46.099999999999909</v>
      </c>
      <c r="G52" s="18">
        <f t="shared" si="14"/>
        <v>3.0352690789463717</v>
      </c>
      <c r="J52" s="10"/>
      <c r="K52" s="17"/>
      <c r="L52" s="17"/>
      <c r="M52" s="17"/>
      <c r="N52" s="16"/>
      <c r="O52" s="16"/>
      <c r="P52" s="18"/>
      <c r="S52" s="10" t="s">
        <v>18</v>
      </c>
      <c r="T52" s="17">
        <v>0</v>
      </c>
      <c r="U52" s="17">
        <v>0</v>
      </c>
      <c r="V52" s="17">
        <f t="shared" si="16"/>
        <v>0</v>
      </c>
      <c r="W52" s="16">
        <v>1</v>
      </c>
      <c r="X52" s="16">
        <f>1696.9-1643.8</f>
        <v>53.100000000000136</v>
      </c>
      <c r="Y52" s="18" t="e">
        <f>LOG10(V52*100*W52/X52*1000)</f>
        <v>#NUM!</v>
      </c>
    </row>
    <row r="53" spans="1:25" x14ac:dyDescent="0.2">
      <c r="A53" s="10" t="s">
        <v>44</v>
      </c>
      <c r="B53" s="17">
        <v>0</v>
      </c>
      <c r="C53" s="17">
        <v>0</v>
      </c>
      <c r="D53" s="17">
        <f t="shared" si="13"/>
        <v>0</v>
      </c>
      <c r="E53" s="10">
        <v>1</v>
      </c>
      <c r="F53" s="10">
        <f>1764.1-1746</f>
        <v>18.099999999999909</v>
      </c>
      <c r="G53" s="18" t="e">
        <f t="shared" si="14"/>
        <v>#NUM!</v>
      </c>
      <c r="J53" s="10"/>
      <c r="S53" s="10" t="s">
        <v>44</v>
      </c>
      <c r="T53" s="17">
        <v>0</v>
      </c>
      <c r="U53" s="17">
        <v>0</v>
      </c>
      <c r="V53" s="17">
        <f t="shared" si="16"/>
        <v>0</v>
      </c>
      <c r="W53" s="16">
        <v>1</v>
      </c>
      <c r="X53" s="16">
        <f>1631.8-1600.4</f>
        <v>31.399999999999864</v>
      </c>
      <c r="Y53" s="18" t="e">
        <f>LOG10(V53*100*W53/X53*1000)</f>
        <v>#NUM!</v>
      </c>
    </row>
    <row r="54" spans="1:25" x14ac:dyDescent="0.2">
      <c r="A54" s="10" t="s">
        <v>45</v>
      </c>
      <c r="B54" s="17">
        <v>5</v>
      </c>
      <c r="C54" s="17">
        <v>4</v>
      </c>
      <c r="D54" s="17">
        <f t="shared" si="13"/>
        <v>4.5</v>
      </c>
      <c r="E54" s="10">
        <v>1</v>
      </c>
      <c r="F54" s="10">
        <f>1709.6-1691.6</f>
        <v>18</v>
      </c>
      <c r="G54" s="18">
        <f t="shared" si="14"/>
        <v>4.3979400086720375</v>
      </c>
      <c r="J54" s="10"/>
      <c r="S54" s="10" t="s">
        <v>45</v>
      </c>
      <c r="T54" s="17">
        <v>0</v>
      </c>
      <c r="U54" s="17">
        <v>0</v>
      </c>
      <c r="V54" s="17">
        <f t="shared" si="16"/>
        <v>0</v>
      </c>
      <c r="W54" s="16">
        <v>1</v>
      </c>
      <c r="X54" s="16">
        <f>1758.2-1720.9</f>
        <v>37.299999999999955</v>
      </c>
      <c r="Y54" s="18" t="e">
        <f t="shared" ref="Y54:Y63" si="18">LOG10(V54*100*W54/X54*1000)</f>
        <v>#NUM!</v>
      </c>
    </row>
    <row r="55" spans="1:25" x14ac:dyDescent="0.2">
      <c r="A55" s="10" t="s">
        <v>46</v>
      </c>
      <c r="B55" s="17">
        <v>0</v>
      </c>
      <c r="C55" s="17">
        <v>0</v>
      </c>
      <c r="D55" s="17">
        <f t="shared" si="13"/>
        <v>0</v>
      </c>
      <c r="E55" s="10">
        <v>1</v>
      </c>
      <c r="F55" s="10">
        <f>1703.2-1646.8</f>
        <v>56.400000000000091</v>
      </c>
      <c r="G55" s="18" t="e">
        <f t="shared" si="14"/>
        <v>#NUM!</v>
      </c>
      <c r="J55" s="10"/>
      <c r="S55" s="10" t="s">
        <v>46</v>
      </c>
      <c r="T55" s="17">
        <v>0</v>
      </c>
      <c r="U55" s="17">
        <v>0</v>
      </c>
      <c r="V55" s="17">
        <f t="shared" si="16"/>
        <v>0</v>
      </c>
      <c r="W55" s="16">
        <v>1</v>
      </c>
      <c r="X55" s="16">
        <f>1770.4-1720.7</f>
        <v>49.700000000000045</v>
      </c>
      <c r="Y55" s="18" t="e">
        <f t="shared" si="18"/>
        <v>#NUM!</v>
      </c>
    </row>
    <row r="56" spans="1:25" x14ac:dyDescent="0.2">
      <c r="A56" s="10" t="s">
        <v>47</v>
      </c>
      <c r="B56" s="17">
        <v>0</v>
      </c>
      <c r="C56" s="17">
        <v>0</v>
      </c>
      <c r="D56" s="17">
        <f t="shared" si="13"/>
        <v>0</v>
      </c>
      <c r="E56" s="10">
        <v>1</v>
      </c>
      <c r="F56" s="10">
        <f>1717.5-1654.3</f>
        <v>63.200000000000045</v>
      </c>
      <c r="G56" s="18" t="e">
        <f t="shared" si="14"/>
        <v>#NUM!</v>
      </c>
      <c r="J56" s="10"/>
      <c r="S56" s="10" t="s">
        <v>47</v>
      </c>
      <c r="T56" s="17">
        <v>0</v>
      </c>
      <c r="U56" s="17">
        <v>0</v>
      </c>
      <c r="V56" s="17">
        <f t="shared" si="16"/>
        <v>0</v>
      </c>
      <c r="W56" s="16">
        <v>1</v>
      </c>
      <c r="X56" s="16">
        <f>1704-1646.8</f>
        <v>57.200000000000045</v>
      </c>
      <c r="Y56" s="18" t="e">
        <f t="shared" si="18"/>
        <v>#NUM!</v>
      </c>
    </row>
    <row r="57" spans="1:25" x14ac:dyDescent="0.2">
      <c r="A57" s="10" t="s">
        <v>48</v>
      </c>
      <c r="B57" s="17">
        <v>0</v>
      </c>
      <c r="C57" s="17">
        <v>0</v>
      </c>
      <c r="D57" s="17">
        <f t="shared" si="13"/>
        <v>0</v>
      </c>
      <c r="E57" s="10">
        <v>1</v>
      </c>
      <c r="F57" s="10">
        <f>1796.3-1743.1</f>
        <v>53.200000000000045</v>
      </c>
      <c r="G57" s="18" t="e">
        <f t="shared" si="14"/>
        <v>#NUM!</v>
      </c>
      <c r="J57" s="10"/>
      <c r="S57" s="10" t="s">
        <v>48</v>
      </c>
      <c r="T57" s="17">
        <v>0</v>
      </c>
      <c r="U57" s="17">
        <v>0</v>
      </c>
      <c r="V57" s="17">
        <f t="shared" si="16"/>
        <v>0</v>
      </c>
      <c r="W57" s="16">
        <v>1</v>
      </c>
      <c r="X57" s="16">
        <f>1711-1665.6</f>
        <v>45.400000000000091</v>
      </c>
      <c r="Y57" s="18" t="e">
        <f t="shared" si="18"/>
        <v>#NUM!</v>
      </c>
    </row>
    <row r="58" spans="1:25" x14ac:dyDescent="0.2">
      <c r="A58" s="10" t="s">
        <v>49</v>
      </c>
      <c r="B58" s="17">
        <v>0</v>
      </c>
      <c r="C58" s="17">
        <v>0</v>
      </c>
      <c r="D58" s="17">
        <f t="shared" si="13"/>
        <v>0</v>
      </c>
      <c r="E58" s="10">
        <v>1</v>
      </c>
      <c r="F58" s="10">
        <f>1709.9-1659.7</f>
        <v>50.200000000000045</v>
      </c>
      <c r="G58" s="18" t="e">
        <f t="shared" si="14"/>
        <v>#NUM!</v>
      </c>
      <c r="J58" s="10"/>
      <c r="S58" s="10" t="s">
        <v>49</v>
      </c>
      <c r="T58" s="17">
        <v>0</v>
      </c>
      <c r="U58" s="17">
        <v>0</v>
      </c>
      <c r="V58" s="17">
        <f t="shared" si="16"/>
        <v>0</v>
      </c>
      <c r="W58" s="16">
        <v>1</v>
      </c>
      <c r="X58" s="16">
        <f>1754.8-1703.6</f>
        <v>51.200000000000045</v>
      </c>
      <c r="Y58" s="18" t="e">
        <f t="shared" si="18"/>
        <v>#NUM!</v>
      </c>
    </row>
    <row r="59" spans="1:25" x14ac:dyDescent="0.2">
      <c r="A59" s="10" t="s">
        <v>50</v>
      </c>
      <c r="B59" s="17">
        <v>0</v>
      </c>
      <c r="C59" s="17">
        <v>0</v>
      </c>
      <c r="D59" s="17">
        <f t="shared" si="13"/>
        <v>0</v>
      </c>
      <c r="E59" s="10">
        <v>1</v>
      </c>
      <c r="F59" s="10">
        <f>1862.6-1833</f>
        <v>29.599999999999909</v>
      </c>
      <c r="G59" s="18" t="e">
        <f t="shared" si="14"/>
        <v>#NUM!</v>
      </c>
      <c r="J59" s="10"/>
      <c r="S59" s="10" t="s">
        <v>50</v>
      </c>
      <c r="T59" s="17">
        <v>0</v>
      </c>
      <c r="U59" s="17">
        <v>0</v>
      </c>
      <c r="V59" s="17">
        <f t="shared" si="16"/>
        <v>0</v>
      </c>
      <c r="W59" s="16">
        <v>1</v>
      </c>
      <c r="X59" s="16">
        <f>1816.2-1782.9</f>
        <v>33.299999999999955</v>
      </c>
      <c r="Y59" s="18" t="e">
        <f t="shared" si="18"/>
        <v>#NUM!</v>
      </c>
    </row>
    <row r="60" spans="1:25" x14ac:dyDescent="0.2">
      <c r="A60" s="10" t="s">
        <v>51</v>
      </c>
      <c r="B60" s="17">
        <v>0</v>
      </c>
      <c r="C60" s="17">
        <v>0</v>
      </c>
      <c r="D60" s="17">
        <f>AVERAGE(B60:C60)</f>
        <v>0</v>
      </c>
      <c r="E60" s="10">
        <v>1</v>
      </c>
      <c r="F60" s="10">
        <f>1851.1-1788.1</f>
        <v>63</v>
      </c>
      <c r="G60" s="18" t="e">
        <f t="shared" si="14"/>
        <v>#NUM!</v>
      </c>
      <c r="J60" s="10"/>
      <c r="S60" s="10" t="s">
        <v>51</v>
      </c>
      <c r="T60" s="17">
        <v>0</v>
      </c>
      <c r="U60" s="17">
        <v>0</v>
      </c>
      <c r="V60" s="17">
        <f t="shared" si="16"/>
        <v>0</v>
      </c>
      <c r="W60" s="16">
        <v>1</v>
      </c>
      <c r="X60" s="16">
        <f>1752.4-1693.2</f>
        <v>59.200000000000045</v>
      </c>
      <c r="Y60" s="18" t="e">
        <f t="shared" si="18"/>
        <v>#NUM!</v>
      </c>
    </row>
    <row r="61" spans="1:25" x14ac:dyDescent="0.2">
      <c r="A61" s="10" t="s">
        <v>52</v>
      </c>
      <c r="B61" s="17">
        <v>0</v>
      </c>
      <c r="C61" s="17">
        <v>0</v>
      </c>
      <c r="D61" s="17">
        <f>AVERAGE(B61:C61)</f>
        <v>0</v>
      </c>
      <c r="E61" s="10">
        <v>1</v>
      </c>
      <c r="F61" s="10">
        <f>1742.7-1729.6</f>
        <v>13.100000000000136</v>
      </c>
      <c r="G61" s="18" t="e">
        <f t="shared" si="14"/>
        <v>#NUM!</v>
      </c>
      <c r="J61" s="10"/>
      <c r="S61" s="10" t="s">
        <v>52</v>
      </c>
      <c r="T61" s="17">
        <v>0</v>
      </c>
      <c r="U61" s="17">
        <v>0</v>
      </c>
      <c r="V61" s="17">
        <f t="shared" si="16"/>
        <v>0</v>
      </c>
      <c r="W61" s="16">
        <v>1</v>
      </c>
      <c r="X61" s="16">
        <f>1837.8-1737.5</f>
        <v>100.29999999999995</v>
      </c>
      <c r="Y61" s="18" t="e">
        <f t="shared" si="18"/>
        <v>#NUM!</v>
      </c>
    </row>
    <row r="62" spans="1:25" x14ac:dyDescent="0.2">
      <c r="A62" s="10" t="s">
        <v>53</v>
      </c>
      <c r="B62" s="17">
        <v>0</v>
      </c>
      <c r="C62" s="17">
        <v>0</v>
      </c>
      <c r="D62" s="17">
        <f>AVERAGE(B62:C62)</f>
        <v>0</v>
      </c>
      <c r="E62" s="10">
        <v>1</v>
      </c>
      <c r="F62" s="10">
        <f>1690-1666.8</f>
        <v>23.200000000000045</v>
      </c>
      <c r="G62" s="18" t="e">
        <f t="shared" si="14"/>
        <v>#NUM!</v>
      </c>
      <c r="J62" s="10"/>
      <c r="S62" s="10" t="s">
        <v>53</v>
      </c>
      <c r="T62" s="17">
        <v>0</v>
      </c>
      <c r="U62" s="17">
        <v>0</v>
      </c>
      <c r="V62" s="17">
        <f t="shared" si="16"/>
        <v>0</v>
      </c>
      <c r="W62" s="16">
        <v>1</v>
      </c>
      <c r="X62" s="16">
        <f>1757.3-1716.1</f>
        <v>41.200000000000045</v>
      </c>
      <c r="Y62" s="18" t="e">
        <f t="shared" si="18"/>
        <v>#NUM!</v>
      </c>
    </row>
    <row r="63" spans="1:25" x14ac:dyDescent="0.2">
      <c r="A63" s="10" t="s">
        <v>54</v>
      </c>
      <c r="B63" s="17">
        <v>0</v>
      </c>
      <c r="C63" s="17">
        <v>0</v>
      </c>
      <c r="D63" s="17">
        <f>AVERAGE(B63:C63)</f>
        <v>0</v>
      </c>
      <c r="E63" s="10">
        <v>1</v>
      </c>
      <c r="F63" s="10">
        <f>1749.1-1718.2</f>
        <v>30.899999999999864</v>
      </c>
      <c r="G63" s="18" t="e">
        <f t="shared" si="14"/>
        <v>#NUM!</v>
      </c>
      <c r="S63" s="10" t="s">
        <v>54</v>
      </c>
      <c r="T63" s="17">
        <v>0</v>
      </c>
      <c r="U63" s="17">
        <v>0</v>
      </c>
      <c r="V63" s="17">
        <f t="shared" si="16"/>
        <v>0</v>
      </c>
      <c r="W63" s="16">
        <v>1</v>
      </c>
      <c r="X63" s="16">
        <f>1663.8-1610.3</f>
        <v>53.5</v>
      </c>
      <c r="Y63" s="18" t="e">
        <f t="shared" si="18"/>
        <v>#NUM!</v>
      </c>
    </row>
    <row r="64" spans="1:25" ht="51" x14ac:dyDescent="0.2">
      <c r="A64" s="13" t="s">
        <v>22</v>
      </c>
      <c r="B64" s="29" t="s">
        <v>7</v>
      </c>
      <c r="C64" s="29"/>
      <c r="D64" s="14" t="s">
        <v>8</v>
      </c>
      <c r="E64" s="14" t="s">
        <v>9</v>
      </c>
      <c r="F64" s="14" t="s">
        <v>10</v>
      </c>
      <c r="G64" s="15" t="s">
        <v>11</v>
      </c>
      <c r="J64" s="13" t="s">
        <v>27</v>
      </c>
      <c r="K64" s="29" t="s">
        <v>7</v>
      </c>
      <c r="L64" s="29"/>
      <c r="M64" s="14" t="s">
        <v>8</v>
      </c>
      <c r="N64" s="14" t="s">
        <v>9</v>
      </c>
      <c r="O64" s="14" t="s">
        <v>10</v>
      </c>
      <c r="P64" s="15" t="s">
        <v>11</v>
      </c>
      <c r="S64" s="13" t="s">
        <v>32</v>
      </c>
      <c r="T64" s="29" t="s">
        <v>7</v>
      </c>
      <c r="U64" s="29"/>
      <c r="V64" s="14" t="s">
        <v>8</v>
      </c>
      <c r="W64" s="14" t="s">
        <v>9</v>
      </c>
      <c r="X64" s="14" t="s">
        <v>10</v>
      </c>
      <c r="Y64" s="15" t="s">
        <v>11</v>
      </c>
    </row>
    <row r="65" spans="1:25" x14ac:dyDescent="0.2">
      <c r="A65" s="10" t="s">
        <v>34</v>
      </c>
      <c r="B65" s="17">
        <v>2</v>
      </c>
      <c r="C65" s="17">
        <v>3</v>
      </c>
      <c r="D65" s="17">
        <f>AVERAGE(B65:C65)</f>
        <v>2.5</v>
      </c>
      <c r="E65" s="16">
        <v>1</v>
      </c>
      <c r="F65" s="16">
        <f>1621.1-1599.7</f>
        <v>21.399999999999864</v>
      </c>
      <c r="G65" s="18">
        <f>LOG10(D65*100*E65/F65*1000)</f>
        <v>4.0675262353228492</v>
      </c>
      <c r="J65" s="10" t="s">
        <v>34</v>
      </c>
      <c r="K65" s="17">
        <v>46</v>
      </c>
      <c r="L65" s="17">
        <v>43</v>
      </c>
      <c r="M65" s="17">
        <f>AVERAGE(K65:L65)</f>
        <v>44.5</v>
      </c>
      <c r="N65" s="16">
        <v>1000</v>
      </c>
      <c r="O65" s="16">
        <f>1819.9-1791.2</f>
        <v>28.700000000000045</v>
      </c>
      <c r="P65" s="18">
        <f>LOG10(M65*100*N65/O65*1000)</f>
        <v>8.1904781142469378</v>
      </c>
      <c r="S65" s="10" t="s">
        <v>34</v>
      </c>
      <c r="T65" s="17">
        <v>7</v>
      </c>
      <c r="U65" s="17">
        <v>8</v>
      </c>
      <c r="V65" s="17">
        <f>AVERAGE(T65:U65)</f>
        <v>7.5</v>
      </c>
      <c r="W65" s="16">
        <v>1000</v>
      </c>
      <c r="X65" s="16">
        <f>1869.8-1766.8</f>
        <v>103</v>
      </c>
      <c r="Y65" s="18">
        <f>LOG10(V65*100*W65/X65*1000)</f>
        <v>6.8622240386865281</v>
      </c>
    </row>
    <row r="66" spans="1:25" x14ac:dyDescent="0.2">
      <c r="A66" s="10" t="s">
        <v>35</v>
      </c>
      <c r="B66" s="17">
        <v>1</v>
      </c>
      <c r="C66" s="17">
        <v>0</v>
      </c>
      <c r="D66" s="17">
        <f t="shared" ref="D66:D80" si="19">AVERAGE(B66:C66)</f>
        <v>0.5</v>
      </c>
      <c r="E66" s="16">
        <v>1</v>
      </c>
      <c r="F66" s="16">
        <f>1641.2-1635.6</f>
        <v>5.6000000000001364</v>
      </c>
      <c r="G66" s="18">
        <f t="shared" ref="G66:G84" si="20">LOG10(D66*100*E66/F66*1000)</f>
        <v>3.9507819773298078</v>
      </c>
      <c r="J66" s="10" t="s">
        <v>35</v>
      </c>
      <c r="K66" s="17">
        <v>16</v>
      </c>
      <c r="L66" s="17">
        <v>16</v>
      </c>
      <c r="M66" s="17">
        <f t="shared" ref="M66:M84" si="21">AVERAGE(K66:L66)</f>
        <v>16</v>
      </c>
      <c r="N66" s="16">
        <v>1000</v>
      </c>
      <c r="O66" s="16">
        <f>1725.7-1718.6</f>
        <v>7.1000000000001364</v>
      </c>
      <c r="P66" s="18">
        <f t="shared" ref="P66:P84" si="22">LOG10(M66*100*N66/O66*1000)</f>
        <v>8.3528616339368416</v>
      </c>
      <c r="S66" s="10" t="s">
        <v>35</v>
      </c>
      <c r="T66" s="17">
        <v>41</v>
      </c>
      <c r="U66" s="17">
        <v>38</v>
      </c>
      <c r="V66" s="17">
        <f t="shared" ref="V66:V84" si="23">AVERAGE(T66:U66)</f>
        <v>39.5</v>
      </c>
      <c r="W66" s="16">
        <v>1000</v>
      </c>
      <c r="X66" s="16">
        <f>1698.8-1679.7</f>
        <v>19.099999999999909</v>
      </c>
      <c r="Y66" s="18">
        <f t="shared" ref="Y66:Y72" si="24">LOG10(V66*100*W66/X66*1000)</f>
        <v>8.3155637283787343</v>
      </c>
    </row>
    <row r="67" spans="1:25" x14ac:dyDescent="0.2">
      <c r="A67" s="10" t="s">
        <v>12</v>
      </c>
      <c r="B67" s="17">
        <v>3</v>
      </c>
      <c r="C67" s="17">
        <v>2</v>
      </c>
      <c r="D67" s="17">
        <f t="shared" si="19"/>
        <v>2.5</v>
      </c>
      <c r="E67" s="16">
        <v>1</v>
      </c>
      <c r="F67" s="16">
        <f>1741.3-1734.6</f>
        <v>6.7000000000000455</v>
      </c>
      <c r="G67" s="18">
        <f t="shared" si="20"/>
        <v>4.5718652059712079</v>
      </c>
      <c r="J67" s="10" t="s">
        <v>12</v>
      </c>
      <c r="K67" s="17">
        <v>34</v>
      </c>
      <c r="L67" s="17">
        <v>34</v>
      </c>
      <c r="M67" s="17">
        <f t="shared" si="21"/>
        <v>34</v>
      </c>
      <c r="N67" s="16">
        <v>1000</v>
      </c>
      <c r="O67" s="16">
        <f>1646-1616.6</f>
        <v>29.400000000000091</v>
      </c>
      <c r="P67" s="18">
        <f t="shared" si="22"/>
        <v>8.0631315866300959</v>
      </c>
      <c r="S67" s="10" t="s">
        <v>12</v>
      </c>
      <c r="T67" s="17">
        <v>20</v>
      </c>
      <c r="U67" s="17">
        <v>22</v>
      </c>
      <c r="V67" s="17">
        <f t="shared" si="23"/>
        <v>21</v>
      </c>
      <c r="W67" s="16">
        <v>1000</v>
      </c>
      <c r="X67" s="16">
        <f>1739.5-1711.3</f>
        <v>28.200000000000045</v>
      </c>
      <c r="Y67" s="18">
        <f t="shared" si="24"/>
        <v>7.8719701864145577</v>
      </c>
    </row>
    <row r="68" spans="1:25" x14ac:dyDescent="0.2">
      <c r="A68" s="10" t="s">
        <v>13</v>
      </c>
      <c r="B68" s="17">
        <v>8</v>
      </c>
      <c r="C68" s="17">
        <v>14</v>
      </c>
      <c r="D68" s="17">
        <f t="shared" si="19"/>
        <v>11</v>
      </c>
      <c r="E68" s="16">
        <v>10</v>
      </c>
      <c r="F68" s="16">
        <f>1820.2-1798.4</f>
        <v>21.799999999999955</v>
      </c>
      <c r="G68" s="18">
        <f t="shared" si="20"/>
        <v>5.7029361915536212</v>
      </c>
      <c r="J68" s="10" t="s">
        <v>13</v>
      </c>
      <c r="K68" s="17">
        <v>37</v>
      </c>
      <c r="L68" s="17">
        <v>32</v>
      </c>
      <c r="M68" s="17">
        <f t="shared" si="21"/>
        <v>34.5</v>
      </c>
      <c r="N68" s="16">
        <v>1000</v>
      </c>
      <c r="O68" s="16">
        <f>1778-1754.7</f>
        <v>23.299999999999955</v>
      </c>
      <c r="P68" s="18">
        <f t="shared" si="22"/>
        <v>8.1704631740472564</v>
      </c>
      <c r="S68" s="10" t="s">
        <v>13</v>
      </c>
      <c r="T68" s="17">
        <v>67</v>
      </c>
      <c r="U68" s="17">
        <v>61</v>
      </c>
      <c r="V68" s="17">
        <f t="shared" si="23"/>
        <v>64</v>
      </c>
      <c r="W68" s="16">
        <v>1000</v>
      </c>
      <c r="X68" s="16">
        <f>1874.6-1838.3</f>
        <v>36.299999999999955</v>
      </c>
      <c r="Y68" s="18">
        <f t="shared" si="24"/>
        <v>8.246273348947776</v>
      </c>
    </row>
    <row r="69" spans="1:25" ht="17" x14ac:dyDescent="0.2">
      <c r="A69" s="8" t="s">
        <v>14</v>
      </c>
      <c r="B69" s="19">
        <v>12</v>
      </c>
      <c r="C69" s="19">
        <v>12</v>
      </c>
      <c r="D69" s="17">
        <f t="shared" si="19"/>
        <v>12</v>
      </c>
      <c r="E69" s="14">
        <v>10</v>
      </c>
      <c r="F69" s="14">
        <f>1743.8-1725.9</f>
        <v>17.899999999999864</v>
      </c>
      <c r="G69" s="18">
        <f t="shared" si="20"/>
        <v>5.8263282150677353</v>
      </c>
      <c r="J69" s="8" t="s">
        <v>14</v>
      </c>
      <c r="K69" s="19">
        <v>10</v>
      </c>
      <c r="L69" s="19">
        <v>16</v>
      </c>
      <c r="M69" s="17">
        <f t="shared" si="21"/>
        <v>13</v>
      </c>
      <c r="N69" s="14">
        <v>10000</v>
      </c>
      <c r="O69" s="14">
        <f>1831-1785.7</f>
        <v>45.299999999999955</v>
      </c>
      <c r="P69" s="18">
        <f t="shared" si="22"/>
        <v>8.4578451502940055</v>
      </c>
      <c r="S69" s="8" t="s">
        <v>14</v>
      </c>
      <c r="T69" s="19">
        <v>46</v>
      </c>
      <c r="U69" s="19">
        <v>22</v>
      </c>
      <c r="V69" s="17">
        <f t="shared" si="23"/>
        <v>34</v>
      </c>
      <c r="W69" s="14">
        <v>1000</v>
      </c>
      <c r="X69" s="14">
        <f>1618.6-1600.7</f>
        <v>17.899999999999864</v>
      </c>
      <c r="Y69" s="18">
        <f t="shared" si="24"/>
        <v>8.2786258860623647</v>
      </c>
    </row>
    <row r="70" spans="1:25" x14ac:dyDescent="0.2">
      <c r="A70" s="10" t="s">
        <v>15</v>
      </c>
      <c r="B70" s="17">
        <v>7</v>
      </c>
      <c r="C70" s="17">
        <v>5</v>
      </c>
      <c r="D70" s="17">
        <f t="shared" si="19"/>
        <v>6</v>
      </c>
      <c r="E70" s="16">
        <v>100</v>
      </c>
      <c r="F70" s="16">
        <f>1745.2-1718.2</f>
        <v>27</v>
      </c>
      <c r="G70" s="18">
        <f t="shared" si="20"/>
        <v>6.346787486224656</v>
      </c>
      <c r="J70" s="10" t="s">
        <v>15</v>
      </c>
      <c r="K70" s="17">
        <v>28</v>
      </c>
      <c r="L70" s="17">
        <v>20</v>
      </c>
      <c r="M70" s="17">
        <f t="shared" si="21"/>
        <v>24</v>
      </c>
      <c r="N70" s="16">
        <v>10</v>
      </c>
      <c r="O70" s="20">
        <f>AVERAGE(O65:O69)</f>
        <v>26.760000000000037</v>
      </c>
      <c r="P70" s="18">
        <f t="shared" si="22"/>
        <v>5.9527251326158197</v>
      </c>
      <c r="S70" s="10" t="s">
        <v>15</v>
      </c>
      <c r="T70" s="17">
        <v>6</v>
      </c>
      <c r="U70" s="17">
        <v>5</v>
      </c>
      <c r="V70" s="17">
        <f t="shared" si="23"/>
        <v>5.5</v>
      </c>
      <c r="W70" s="16">
        <v>1000</v>
      </c>
      <c r="X70" s="16">
        <f>1751.9-1703</f>
        <v>48.900000000000091</v>
      </c>
      <c r="Y70" s="18">
        <f t="shared" si="24"/>
        <v>7.0510538303706225</v>
      </c>
    </row>
    <row r="71" spans="1:25" x14ac:dyDescent="0.2">
      <c r="A71" s="10" t="s">
        <v>16</v>
      </c>
      <c r="B71" s="17">
        <v>0</v>
      </c>
      <c r="C71" s="17">
        <v>1</v>
      </c>
      <c r="D71" s="17">
        <f t="shared" si="19"/>
        <v>0.5</v>
      </c>
      <c r="E71" s="16">
        <v>1</v>
      </c>
      <c r="F71" s="16">
        <f>1765.7-1728.2</f>
        <v>37.5</v>
      </c>
      <c r="G71" s="18">
        <f>LOG10(D71*100*E71/F71*1000)</f>
        <v>3.1249387366082999</v>
      </c>
      <c r="J71" s="10" t="s">
        <v>16</v>
      </c>
      <c r="K71" s="17">
        <v>44</v>
      </c>
      <c r="L71" s="17">
        <v>45</v>
      </c>
      <c r="M71" s="17">
        <f t="shared" si="21"/>
        <v>44.5</v>
      </c>
      <c r="N71" s="16">
        <v>100</v>
      </c>
      <c r="O71" s="10">
        <f>1682.1-1653.7</f>
        <v>28.399999999999864</v>
      </c>
      <c r="P71" s="18">
        <f>LOG10(M71*100*N71/O71*1000)</f>
        <v>7.1950416709338958</v>
      </c>
      <c r="S71" s="10" t="s">
        <v>16</v>
      </c>
      <c r="T71" s="17">
        <v>1</v>
      </c>
      <c r="U71" s="17">
        <v>2</v>
      </c>
      <c r="V71" s="17">
        <f t="shared" si="23"/>
        <v>1.5</v>
      </c>
      <c r="W71" s="16">
        <v>1</v>
      </c>
      <c r="X71" s="16">
        <f>1709.1-1690.9</f>
        <v>18.199999999999818</v>
      </c>
      <c r="Y71" s="18">
        <f t="shared" si="24"/>
        <v>3.9160198710706107</v>
      </c>
    </row>
    <row r="72" spans="1:25" x14ac:dyDescent="0.2">
      <c r="A72" s="10" t="s">
        <v>17</v>
      </c>
      <c r="B72" s="17">
        <v>0</v>
      </c>
      <c r="C72" s="17">
        <v>0</v>
      </c>
      <c r="D72" s="17">
        <f t="shared" si="19"/>
        <v>0</v>
      </c>
      <c r="E72" s="16">
        <v>1</v>
      </c>
      <c r="F72" s="16">
        <f>1663.4-1641.7</f>
        <v>21.700000000000045</v>
      </c>
      <c r="G72" s="18" t="e">
        <f t="shared" si="20"/>
        <v>#NUM!</v>
      </c>
      <c r="J72" s="10" t="s">
        <v>17</v>
      </c>
      <c r="K72" s="17">
        <v>17</v>
      </c>
      <c r="L72" s="17">
        <v>9</v>
      </c>
      <c r="M72" s="17">
        <f t="shared" si="21"/>
        <v>13</v>
      </c>
      <c r="N72" s="16">
        <v>10</v>
      </c>
      <c r="O72" s="16">
        <f>1711.2-1677.6</f>
        <v>33.600000000000136</v>
      </c>
      <c r="P72" s="18">
        <f>LOG10(M72*100*N72/O72*1000)</f>
        <v>5.5876040749169906</v>
      </c>
      <c r="S72" s="10" t="s">
        <v>17</v>
      </c>
      <c r="T72" s="17">
        <v>4</v>
      </c>
      <c r="U72" s="17">
        <v>5</v>
      </c>
      <c r="V72" s="17">
        <f t="shared" si="23"/>
        <v>4.5</v>
      </c>
      <c r="W72" s="16">
        <v>1</v>
      </c>
      <c r="X72" s="16">
        <f>1827.2-1753.9</f>
        <v>73.299999999999955</v>
      </c>
      <c r="Y72" s="18">
        <f t="shared" si="24"/>
        <v>3.7881085391342162</v>
      </c>
    </row>
    <row r="73" spans="1:25" x14ac:dyDescent="0.2">
      <c r="A73" s="10" t="s">
        <v>18</v>
      </c>
      <c r="B73" s="17">
        <v>0</v>
      </c>
      <c r="C73" s="17">
        <v>0</v>
      </c>
      <c r="D73" s="17">
        <f t="shared" si="19"/>
        <v>0</v>
      </c>
      <c r="E73" s="16">
        <v>1</v>
      </c>
      <c r="F73" s="16">
        <f>1602.9-1581</f>
        <v>21.900000000000091</v>
      </c>
      <c r="G73" s="18" t="e">
        <f t="shared" si="20"/>
        <v>#NUM!</v>
      </c>
      <c r="J73" s="10" t="s">
        <v>18</v>
      </c>
      <c r="K73" s="17">
        <v>20</v>
      </c>
      <c r="L73" s="17">
        <v>12</v>
      </c>
      <c r="M73" s="17">
        <f t="shared" si="21"/>
        <v>16</v>
      </c>
      <c r="N73" s="16">
        <v>10</v>
      </c>
      <c r="O73" s="16">
        <f>1672.9-1653.3</f>
        <v>19.600000000000136</v>
      </c>
      <c r="P73" s="18">
        <f t="shared" si="22"/>
        <v>5.911863911299446</v>
      </c>
      <c r="S73" s="10" t="s">
        <v>18</v>
      </c>
      <c r="T73" s="17">
        <v>2</v>
      </c>
      <c r="U73" s="17">
        <v>4</v>
      </c>
      <c r="V73" s="17">
        <f t="shared" si="23"/>
        <v>3</v>
      </c>
      <c r="W73" s="16">
        <v>1</v>
      </c>
      <c r="X73" s="16">
        <f>1773.4-1753.1</f>
        <v>20.300000000000182</v>
      </c>
      <c r="Y73" s="18">
        <f>LOG10(V73*100*W73/X73*1000)</f>
        <v>4.1696252168064456</v>
      </c>
    </row>
    <row r="74" spans="1:25" x14ac:dyDescent="0.2">
      <c r="A74" s="10" t="s">
        <v>44</v>
      </c>
      <c r="B74" s="17">
        <v>0</v>
      </c>
      <c r="C74" s="17">
        <v>0</v>
      </c>
      <c r="D74" s="17">
        <f t="shared" si="19"/>
        <v>0</v>
      </c>
      <c r="E74" s="10">
        <v>1</v>
      </c>
      <c r="F74" s="10">
        <f>1776.8-1730.9</f>
        <v>45.899999999999864</v>
      </c>
      <c r="G74" s="18" t="e">
        <f t="shared" si="20"/>
        <v>#NUM!</v>
      </c>
      <c r="J74" s="10" t="s">
        <v>44</v>
      </c>
      <c r="K74" s="17">
        <v>4</v>
      </c>
      <c r="L74" s="17">
        <v>10</v>
      </c>
      <c r="M74" s="17">
        <f t="shared" si="21"/>
        <v>7</v>
      </c>
      <c r="N74" s="10">
        <v>1</v>
      </c>
      <c r="O74" s="10">
        <f>1738.4-1718.8</f>
        <v>19.600000000000136</v>
      </c>
      <c r="P74" s="18">
        <f t="shared" si="22"/>
        <v>4.5528419686577779</v>
      </c>
      <c r="S74" s="10" t="s">
        <v>44</v>
      </c>
      <c r="T74" s="17">
        <v>21</v>
      </c>
      <c r="U74" s="17">
        <v>20</v>
      </c>
      <c r="V74" s="17">
        <f t="shared" si="23"/>
        <v>20.5</v>
      </c>
      <c r="W74" s="16">
        <v>1</v>
      </c>
      <c r="X74" s="16">
        <f>1713-1676.3</f>
        <v>36.700000000000045</v>
      </c>
      <c r="Y74" s="18">
        <f>LOG10(V74*100*W74/X74*1000)</f>
        <v>4.7470877968036644</v>
      </c>
    </row>
    <row r="75" spans="1:25" x14ac:dyDescent="0.2">
      <c r="A75" s="10" t="s">
        <v>45</v>
      </c>
      <c r="B75" s="17">
        <v>1</v>
      </c>
      <c r="C75" s="17">
        <v>2</v>
      </c>
      <c r="D75" s="17">
        <f t="shared" si="19"/>
        <v>1.5</v>
      </c>
      <c r="E75" s="10">
        <v>1</v>
      </c>
      <c r="F75" s="10">
        <f>1727.4-1659.2</f>
        <v>68.200000000000045</v>
      </c>
      <c r="G75" s="18">
        <f t="shared" si="20"/>
        <v>3.3423068843992021</v>
      </c>
      <c r="J75" s="10" t="s">
        <v>45</v>
      </c>
      <c r="K75" s="17">
        <v>9</v>
      </c>
      <c r="L75" s="17">
        <v>11</v>
      </c>
      <c r="M75" s="17">
        <f t="shared" si="21"/>
        <v>10</v>
      </c>
      <c r="N75" s="10">
        <v>10</v>
      </c>
      <c r="O75" s="10">
        <f>1791.9-1770.8</f>
        <v>21.100000000000136</v>
      </c>
      <c r="P75" s="18">
        <f t="shared" si="22"/>
        <v>5.6757175447023043</v>
      </c>
      <c r="S75" s="10" t="s">
        <v>45</v>
      </c>
      <c r="T75" s="17">
        <v>5</v>
      </c>
      <c r="U75" s="17">
        <v>4</v>
      </c>
      <c r="V75" s="17">
        <f t="shared" si="23"/>
        <v>4.5</v>
      </c>
      <c r="W75" s="16">
        <v>1</v>
      </c>
      <c r="X75" s="16">
        <f>1761.9-1723</f>
        <v>38.900000000000091</v>
      </c>
      <c r="Y75" s="18">
        <f t="shared" ref="Y75:Y84" si="25">LOG10(V75*100*W75/X75*1000)</f>
        <v>4.0632629124496349</v>
      </c>
    </row>
    <row r="76" spans="1:25" x14ac:dyDescent="0.2">
      <c r="A76" s="10" t="s">
        <v>46</v>
      </c>
      <c r="B76" s="17">
        <v>0</v>
      </c>
      <c r="C76" s="17">
        <v>0</v>
      </c>
      <c r="D76" s="17">
        <f t="shared" si="19"/>
        <v>0</v>
      </c>
      <c r="E76" s="10">
        <v>1</v>
      </c>
      <c r="F76" s="10">
        <f>1773.6-1731</f>
        <v>42.599999999999909</v>
      </c>
      <c r="G76" s="18" t="e">
        <f t="shared" si="20"/>
        <v>#NUM!</v>
      </c>
      <c r="J76" s="10" t="s">
        <v>46</v>
      </c>
      <c r="K76" s="17">
        <v>13</v>
      </c>
      <c r="L76" s="17">
        <v>11</v>
      </c>
      <c r="M76" s="17">
        <f t="shared" si="21"/>
        <v>12</v>
      </c>
      <c r="N76" s="10">
        <v>1</v>
      </c>
      <c r="O76" s="10">
        <f>1828.7-1800</f>
        <v>28.700000000000045</v>
      </c>
      <c r="P76" s="18">
        <f t="shared" si="22"/>
        <v>4.6212993493136318</v>
      </c>
      <c r="S76" s="10" t="s">
        <v>46</v>
      </c>
      <c r="T76" s="17">
        <v>2</v>
      </c>
      <c r="U76" s="17">
        <v>0</v>
      </c>
      <c r="V76" s="17">
        <f t="shared" si="23"/>
        <v>1</v>
      </c>
      <c r="W76" s="16">
        <v>1</v>
      </c>
      <c r="X76" s="16">
        <f>1712.3-1682.1</f>
        <v>30.200000000000045</v>
      </c>
      <c r="Y76" s="18">
        <f t="shared" si="25"/>
        <v>3.5199930570428486</v>
      </c>
    </row>
    <row r="77" spans="1:25" x14ac:dyDescent="0.2">
      <c r="A77" s="10" t="s">
        <v>47</v>
      </c>
      <c r="B77" s="17">
        <v>0</v>
      </c>
      <c r="C77" s="17">
        <v>0</v>
      </c>
      <c r="D77" s="17">
        <f t="shared" si="19"/>
        <v>0</v>
      </c>
      <c r="E77" s="10">
        <v>1</v>
      </c>
      <c r="F77" s="10">
        <f>1683.1-1636.9</f>
        <v>46.199999999999818</v>
      </c>
      <c r="G77" s="18" t="e">
        <f t="shared" si="20"/>
        <v>#NUM!</v>
      </c>
      <c r="J77" s="10" t="s">
        <v>47</v>
      </c>
      <c r="K77" s="17">
        <v>0</v>
      </c>
      <c r="L77" s="17">
        <v>0</v>
      </c>
      <c r="M77" s="17">
        <f t="shared" si="21"/>
        <v>0</v>
      </c>
      <c r="N77" s="10">
        <v>1</v>
      </c>
      <c r="O77" s="10">
        <f>1729-1707.9</f>
        <v>21.099999999999909</v>
      </c>
      <c r="P77" s="18" t="e">
        <f t="shared" si="22"/>
        <v>#NUM!</v>
      </c>
      <c r="S77" s="10" t="s">
        <v>47</v>
      </c>
      <c r="T77" s="17">
        <v>2</v>
      </c>
      <c r="U77" s="17">
        <v>0</v>
      </c>
      <c r="V77" s="17">
        <f t="shared" si="23"/>
        <v>1</v>
      </c>
      <c r="W77" s="16">
        <v>1</v>
      </c>
      <c r="X77" s="16">
        <f>1936.4-1884.9</f>
        <v>51.5</v>
      </c>
      <c r="Y77" s="18">
        <f t="shared" si="25"/>
        <v>3.2881927709588092</v>
      </c>
    </row>
    <row r="78" spans="1:25" x14ac:dyDescent="0.2">
      <c r="A78" s="10" t="s">
        <v>48</v>
      </c>
      <c r="B78" s="17">
        <v>0</v>
      </c>
      <c r="C78" s="17">
        <v>0</v>
      </c>
      <c r="D78" s="17">
        <f t="shared" si="19"/>
        <v>0</v>
      </c>
      <c r="E78" s="10">
        <v>1</v>
      </c>
      <c r="F78" s="10">
        <f>1741-1664.3</f>
        <v>76.700000000000045</v>
      </c>
      <c r="G78" s="18" t="e">
        <f t="shared" si="20"/>
        <v>#NUM!</v>
      </c>
      <c r="J78" s="10" t="s">
        <v>48</v>
      </c>
      <c r="K78" s="17">
        <v>0</v>
      </c>
      <c r="L78" s="17">
        <v>0</v>
      </c>
      <c r="M78" s="17">
        <f t="shared" si="21"/>
        <v>0</v>
      </c>
      <c r="N78" s="10">
        <v>1</v>
      </c>
      <c r="O78" s="10">
        <f>1772.5-1745.5</f>
        <v>27</v>
      </c>
      <c r="P78" s="18" t="e">
        <f t="shared" si="22"/>
        <v>#NUM!</v>
      </c>
      <c r="S78" s="10" t="s">
        <v>48</v>
      </c>
      <c r="T78" s="17">
        <v>1</v>
      </c>
      <c r="U78" s="17">
        <v>2</v>
      </c>
      <c r="V78" s="17">
        <f t="shared" si="23"/>
        <v>1.5</v>
      </c>
      <c r="W78" s="16">
        <v>1</v>
      </c>
      <c r="X78" s="16">
        <f>1793.4-1752.8</f>
        <v>40.600000000000136</v>
      </c>
      <c r="Y78" s="18">
        <f t="shared" si="25"/>
        <v>3.5675652254784858</v>
      </c>
    </row>
    <row r="79" spans="1:25" x14ac:dyDescent="0.2">
      <c r="A79" s="10" t="s">
        <v>49</v>
      </c>
      <c r="B79" s="17">
        <v>0</v>
      </c>
      <c r="C79" s="17">
        <v>0</v>
      </c>
      <c r="D79" s="17">
        <f t="shared" si="19"/>
        <v>0</v>
      </c>
      <c r="E79" s="10">
        <v>1</v>
      </c>
      <c r="F79" s="10">
        <f>1737.9-1647.5</f>
        <v>90.400000000000091</v>
      </c>
      <c r="G79" s="18" t="e">
        <f t="shared" si="20"/>
        <v>#NUM!</v>
      </c>
      <c r="J79" s="10" t="s">
        <v>49</v>
      </c>
      <c r="K79" s="17">
        <v>0</v>
      </c>
      <c r="L79" s="17">
        <v>0</v>
      </c>
      <c r="M79" s="17">
        <f t="shared" si="21"/>
        <v>0</v>
      </c>
      <c r="N79" s="10">
        <v>1</v>
      </c>
      <c r="O79" s="10">
        <f>1715.5-1668.7</f>
        <v>46.799999999999955</v>
      </c>
      <c r="P79" s="18" t="e">
        <f t="shared" si="22"/>
        <v>#NUM!</v>
      </c>
      <c r="S79" s="10" t="s">
        <v>49</v>
      </c>
      <c r="T79" s="17">
        <v>0</v>
      </c>
      <c r="U79" s="17">
        <v>0</v>
      </c>
      <c r="V79" s="17">
        <f t="shared" si="23"/>
        <v>0</v>
      </c>
      <c r="W79" s="16">
        <v>1</v>
      </c>
      <c r="X79" s="16">
        <f>1742.3-1698.6</f>
        <v>43.700000000000045</v>
      </c>
      <c r="Y79" s="18" t="e">
        <f t="shared" si="25"/>
        <v>#NUM!</v>
      </c>
    </row>
    <row r="80" spans="1:25" x14ac:dyDescent="0.2">
      <c r="A80" s="10" t="s">
        <v>50</v>
      </c>
      <c r="B80" s="17">
        <v>0</v>
      </c>
      <c r="C80" s="17">
        <v>0</v>
      </c>
      <c r="D80" s="17">
        <f t="shared" si="19"/>
        <v>0</v>
      </c>
      <c r="E80" s="10">
        <v>1</v>
      </c>
      <c r="F80" s="10">
        <f>1707.2-1676.4</f>
        <v>30.799999999999955</v>
      </c>
      <c r="G80" s="18" t="e">
        <f t="shared" si="20"/>
        <v>#NUM!</v>
      </c>
      <c r="J80" s="10" t="s">
        <v>50</v>
      </c>
      <c r="K80" s="17">
        <v>0</v>
      </c>
      <c r="L80" s="17">
        <v>0</v>
      </c>
      <c r="M80" s="17">
        <f t="shared" si="21"/>
        <v>0</v>
      </c>
      <c r="N80" s="10">
        <v>1</v>
      </c>
      <c r="O80" s="10">
        <f>1836-1797.7</f>
        <v>38.299999999999955</v>
      </c>
      <c r="P80" s="18" t="e">
        <f t="shared" si="22"/>
        <v>#NUM!</v>
      </c>
      <c r="S80" s="10" t="s">
        <v>50</v>
      </c>
      <c r="T80" s="17">
        <v>0</v>
      </c>
      <c r="U80" s="17">
        <v>1</v>
      </c>
      <c r="V80" s="17">
        <f t="shared" si="23"/>
        <v>0.5</v>
      </c>
      <c r="W80" s="16">
        <v>1</v>
      </c>
      <c r="X80" s="16">
        <f>1737.5-1701.5</f>
        <v>36</v>
      </c>
      <c r="Y80" s="18">
        <f t="shared" si="25"/>
        <v>3.1426675035687315</v>
      </c>
    </row>
    <row r="81" spans="1:25" x14ac:dyDescent="0.2">
      <c r="A81" s="10" t="s">
        <v>51</v>
      </c>
      <c r="B81" s="17">
        <v>0</v>
      </c>
      <c r="C81" s="17">
        <v>0</v>
      </c>
      <c r="D81" s="17">
        <f>AVERAGE(B81:C81)</f>
        <v>0</v>
      </c>
      <c r="E81" s="10">
        <v>1</v>
      </c>
      <c r="F81" s="10">
        <f>2005-1852.6</f>
        <v>152.40000000000009</v>
      </c>
      <c r="G81" s="18" t="e">
        <f t="shared" si="20"/>
        <v>#NUM!</v>
      </c>
      <c r="J81" s="10" t="s">
        <v>51</v>
      </c>
      <c r="K81" s="17">
        <v>0</v>
      </c>
      <c r="L81" s="17">
        <v>0</v>
      </c>
      <c r="M81" s="17">
        <f t="shared" si="21"/>
        <v>0</v>
      </c>
      <c r="N81" s="10">
        <v>1</v>
      </c>
      <c r="O81" s="10">
        <f>1790.8-1737.2</f>
        <v>53.599999999999909</v>
      </c>
      <c r="P81" s="18" t="e">
        <f t="shared" si="22"/>
        <v>#NUM!</v>
      </c>
      <c r="S81" s="10" t="s">
        <v>51</v>
      </c>
      <c r="T81" s="17">
        <v>5</v>
      </c>
      <c r="U81" s="17">
        <v>9</v>
      </c>
      <c r="V81" s="17">
        <f t="shared" si="23"/>
        <v>7</v>
      </c>
      <c r="W81" s="16">
        <v>1</v>
      </c>
      <c r="X81" s="16">
        <f>1779.4-1672.8</f>
        <v>106.60000000000014</v>
      </c>
      <c r="Y81" s="18">
        <f t="shared" si="25"/>
        <v>3.8173408353237028</v>
      </c>
    </row>
    <row r="82" spans="1:25" x14ac:dyDescent="0.2">
      <c r="A82" s="10" t="s">
        <v>52</v>
      </c>
      <c r="B82" s="17">
        <v>0</v>
      </c>
      <c r="C82" s="17">
        <v>0</v>
      </c>
      <c r="D82" s="17">
        <f>AVERAGE(B82:C82)</f>
        <v>0</v>
      </c>
      <c r="E82" s="10">
        <v>1</v>
      </c>
      <c r="F82" s="10">
        <f>1831.6-1770.7</f>
        <v>60.899999999999864</v>
      </c>
      <c r="G82" s="18" t="e">
        <f t="shared" si="20"/>
        <v>#NUM!</v>
      </c>
      <c r="J82" s="10" t="s">
        <v>52</v>
      </c>
      <c r="K82" s="17">
        <v>0</v>
      </c>
      <c r="L82" s="17">
        <v>0</v>
      </c>
      <c r="M82" s="17">
        <f t="shared" si="21"/>
        <v>0</v>
      </c>
      <c r="N82" s="10">
        <v>1</v>
      </c>
      <c r="O82" s="10">
        <f>1746.1-1729.3</f>
        <v>16.799999999999955</v>
      </c>
      <c r="P82" s="18" t="e">
        <f t="shared" si="22"/>
        <v>#NUM!</v>
      </c>
      <c r="S82" s="10" t="s">
        <v>52</v>
      </c>
      <c r="T82" s="17">
        <v>20</v>
      </c>
      <c r="U82" s="17">
        <v>22</v>
      </c>
      <c r="V82" s="17">
        <f t="shared" si="23"/>
        <v>21</v>
      </c>
      <c r="W82" s="16">
        <v>10</v>
      </c>
      <c r="X82" s="16">
        <f>1699.2-1672.2</f>
        <v>27</v>
      </c>
      <c r="Y82" s="18">
        <f t="shared" si="25"/>
        <v>5.8908555305749317</v>
      </c>
    </row>
    <row r="83" spans="1:25" x14ac:dyDescent="0.2">
      <c r="A83" s="10" t="s">
        <v>53</v>
      </c>
      <c r="B83" s="17">
        <v>0</v>
      </c>
      <c r="C83" s="17">
        <v>0</v>
      </c>
      <c r="D83" s="17">
        <f>AVERAGE(B83:C83)</f>
        <v>0</v>
      </c>
      <c r="E83" s="10">
        <v>1</v>
      </c>
      <c r="F83" s="10">
        <f>1732.5-1706</f>
        <v>26.5</v>
      </c>
      <c r="G83" s="18" t="e">
        <f t="shared" si="20"/>
        <v>#NUM!</v>
      </c>
      <c r="J83" s="10" t="s">
        <v>53</v>
      </c>
      <c r="K83" s="17">
        <v>0</v>
      </c>
      <c r="L83" s="17">
        <v>0</v>
      </c>
      <c r="M83" s="17">
        <f t="shared" si="21"/>
        <v>0</v>
      </c>
      <c r="N83" s="10">
        <v>1</v>
      </c>
      <c r="O83" s="10">
        <f>1816.6-1785.5</f>
        <v>31.099999999999909</v>
      </c>
      <c r="P83" s="18" t="e">
        <f t="shared" si="22"/>
        <v>#NUM!</v>
      </c>
      <c r="S83" s="10" t="s">
        <v>53</v>
      </c>
      <c r="T83" s="17">
        <v>8</v>
      </c>
      <c r="U83" s="17">
        <v>8</v>
      </c>
      <c r="V83" s="17">
        <f t="shared" si="23"/>
        <v>8</v>
      </c>
      <c r="W83" s="16">
        <v>1</v>
      </c>
      <c r="X83" s="16">
        <f>1743.4-1707</f>
        <v>36.400000000000091</v>
      </c>
      <c r="Y83" s="18">
        <f t="shared" si="25"/>
        <v>4.3419886033428865</v>
      </c>
    </row>
    <row r="84" spans="1:25" x14ac:dyDescent="0.2">
      <c r="A84" s="10" t="s">
        <v>54</v>
      </c>
      <c r="B84" s="17">
        <v>0</v>
      </c>
      <c r="C84" s="17">
        <v>0</v>
      </c>
      <c r="D84" s="17">
        <f>AVERAGE(B84:C84)</f>
        <v>0</v>
      </c>
      <c r="E84" s="10">
        <v>1</v>
      </c>
      <c r="F84" s="10">
        <f>1707.4-1605.6</f>
        <v>101.80000000000018</v>
      </c>
      <c r="G84" s="18" t="e">
        <f t="shared" si="20"/>
        <v>#NUM!</v>
      </c>
      <c r="J84" s="10" t="s">
        <v>54</v>
      </c>
      <c r="K84" s="17">
        <v>0</v>
      </c>
      <c r="L84" s="17">
        <v>0</v>
      </c>
      <c r="M84" s="17">
        <f t="shared" si="21"/>
        <v>0</v>
      </c>
      <c r="N84" s="10">
        <v>1</v>
      </c>
      <c r="O84" s="10">
        <f>1827.8-1798.9</f>
        <v>28.899999999999864</v>
      </c>
      <c r="P84" s="18" t="e">
        <f t="shared" si="22"/>
        <v>#NUM!</v>
      </c>
      <c r="S84" s="10" t="s">
        <v>54</v>
      </c>
      <c r="T84" s="17">
        <v>1</v>
      </c>
      <c r="U84" s="17">
        <v>2</v>
      </c>
      <c r="V84" s="17">
        <f t="shared" si="23"/>
        <v>1.5</v>
      </c>
      <c r="W84" s="16">
        <v>1</v>
      </c>
      <c r="X84" s="16">
        <f>1752-1725.6</f>
        <v>26.400000000000091</v>
      </c>
      <c r="Y84" s="18">
        <f t="shared" si="25"/>
        <v>3.7544873321858487</v>
      </c>
    </row>
    <row r="85" spans="1:25" ht="51" x14ac:dyDescent="0.2">
      <c r="A85" s="13" t="s">
        <v>23</v>
      </c>
      <c r="B85" s="29" t="s">
        <v>7</v>
      </c>
      <c r="C85" s="29"/>
      <c r="D85" s="14" t="s">
        <v>8</v>
      </c>
      <c r="E85" s="14" t="s">
        <v>9</v>
      </c>
      <c r="F85" s="14" t="s">
        <v>10</v>
      </c>
      <c r="G85" s="15" t="s">
        <v>11</v>
      </c>
      <c r="J85" s="13" t="s">
        <v>28</v>
      </c>
      <c r="K85" s="29" t="s">
        <v>7</v>
      </c>
      <c r="L85" s="29"/>
      <c r="M85" s="14" t="s">
        <v>8</v>
      </c>
      <c r="N85" s="14" t="s">
        <v>9</v>
      </c>
      <c r="O85" s="14" t="s">
        <v>10</v>
      </c>
      <c r="P85" s="15" t="s">
        <v>11</v>
      </c>
      <c r="S85" s="13" t="s">
        <v>33</v>
      </c>
      <c r="T85" s="29" t="s">
        <v>7</v>
      </c>
      <c r="U85" s="29"/>
      <c r="V85" s="14" t="s">
        <v>8</v>
      </c>
      <c r="W85" s="14" t="s">
        <v>9</v>
      </c>
      <c r="X85" s="14" t="s">
        <v>10</v>
      </c>
      <c r="Y85" s="15" t="s">
        <v>11</v>
      </c>
    </row>
    <row r="86" spans="1:25" x14ac:dyDescent="0.2">
      <c r="A86" s="10" t="s">
        <v>34</v>
      </c>
      <c r="B86" s="17">
        <v>0</v>
      </c>
      <c r="C86" s="17">
        <v>0</v>
      </c>
      <c r="D86" s="17">
        <f>AVERAGE(B86:C86)</f>
        <v>0</v>
      </c>
      <c r="E86" s="16">
        <v>1</v>
      </c>
      <c r="F86" s="16">
        <f>1750.3-1735.1</f>
        <v>15.200000000000045</v>
      </c>
      <c r="G86" s="18" t="e">
        <f>LOG10(D86*100*E86/F86*1000)</f>
        <v>#NUM!</v>
      </c>
      <c r="J86" s="10" t="s">
        <v>34</v>
      </c>
      <c r="K86" s="17">
        <v>43</v>
      </c>
      <c r="L86" s="17">
        <v>45</v>
      </c>
      <c r="M86" s="17">
        <f>AVERAGE(K86:L86)</f>
        <v>44</v>
      </c>
      <c r="N86" s="16">
        <v>1000</v>
      </c>
      <c r="O86" s="16">
        <f>1750.6-1732.1</f>
        <v>18.5</v>
      </c>
      <c r="P86" s="18">
        <f>LOG10(M86*100*N86/O86*1000)</f>
        <v>8.3762809480831741</v>
      </c>
      <c r="S86" s="10" t="s">
        <v>34</v>
      </c>
      <c r="T86" s="17">
        <v>1</v>
      </c>
      <c r="U86" s="17">
        <v>1</v>
      </c>
      <c r="V86" s="17">
        <f>AVERAGE(T86:U86)</f>
        <v>1</v>
      </c>
      <c r="W86" s="16">
        <v>1</v>
      </c>
      <c r="X86" s="16">
        <f>1715.4-1698.9</f>
        <v>16.5</v>
      </c>
      <c r="Y86" s="18">
        <f>LOG10(V86*100*W86/X86*1000)</f>
        <v>3.7825160557860937</v>
      </c>
    </row>
    <row r="87" spans="1:25" x14ac:dyDescent="0.2">
      <c r="A87" s="10" t="s">
        <v>35</v>
      </c>
      <c r="B87" s="17">
        <v>1</v>
      </c>
      <c r="C87" s="17">
        <v>0</v>
      </c>
      <c r="D87" s="17">
        <f t="shared" ref="D87:D95" si="26">AVERAGE(B87:C87)</f>
        <v>0.5</v>
      </c>
      <c r="E87" s="16">
        <v>1</v>
      </c>
      <c r="F87" s="16">
        <f>1780.4-1770.6</f>
        <v>9.8000000000001819</v>
      </c>
      <c r="G87" s="18">
        <f t="shared" ref="G87:G106" si="27">LOG10(D87*100*E87/F87*1000)</f>
        <v>3.7077439286435161</v>
      </c>
      <c r="J87" s="10" t="s">
        <v>35</v>
      </c>
      <c r="K87" s="17">
        <v>8</v>
      </c>
      <c r="L87" s="17">
        <v>11</v>
      </c>
      <c r="M87" s="17">
        <f t="shared" ref="M87:M105" si="28">AVERAGE(K87:L87)</f>
        <v>9.5</v>
      </c>
      <c r="N87" s="16">
        <v>10000</v>
      </c>
      <c r="O87" s="16">
        <f>1722.8-1705.9</f>
        <v>16.899999999999864</v>
      </c>
      <c r="P87" s="18">
        <f t="shared" ref="P87:P105" si="29">LOG10(M87*100*N87/O87*1000)</f>
        <v>8.7498369006751773</v>
      </c>
      <c r="S87" s="10" t="s">
        <v>35</v>
      </c>
      <c r="T87" s="17">
        <v>22</v>
      </c>
      <c r="U87" s="17">
        <v>29</v>
      </c>
      <c r="V87" s="17">
        <f t="shared" ref="V87:V105" si="30">AVERAGE(T87:U87)</f>
        <v>25.5</v>
      </c>
      <c r="W87" s="16">
        <v>1000</v>
      </c>
      <c r="X87" s="16">
        <f>1811.2-1782.3</f>
        <v>28.900000000000091</v>
      </c>
      <c r="Y87" s="18">
        <f t="shared" ref="Y87:Y105" si="31">LOG10(V87*100*W87/X87*1000)</f>
        <v>7.9456423376774064</v>
      </c>
    </row>
    <row r="88" spans="1:25" x14ac:dyDescent="0.2">
      <c r="A88" s="10" t="s">
        <v>12</v>
      </c>
      <c r="B88" s="17">
        <v>3</v>
      </c>
      <c r="C88" s="17">
        <v>6</v>
      </c>
      <c r="D88" s="17">
        <f t="shared" si="26"/>
        <v>4.5</v>
      </c>
      <c r="E88" s="16">
        <v>1</v>
      </c>
      <c r="F88" s="16">
        <f>1774.8-1768.5</f>
        <v>6.2999999999999545</v>
      </c>
      <c r="G88" s="18">
        <f t="shared" si="27"/>
        <v>4.8538719643217654</v>
      </c>
      <c r="J88" s="10" t="s">
        <v>12</v>
      </c>
      <c r="K88" s="17">
        <v>15</v>
      </c>
      <c r="L88" s="17">
        <v>9</v>
      </c>
      <c r="M88" s="17">
        <f t="shared" si="28"/>
        <v>12</v>
      </c>
      <c r="N88" s="16">
        <v>1000</v>
      </c>
      <c r="O88" s="16">
        <f>1682.2-1663.6</f>
        <v>18.600000000000136</v>
      </c>
      <c r="P88" s="18">
        <f t="shared" si="29"/>
        <v>7.8096683018297055</v>
      </c>
      <c r="S88" s="10" t="s">
        <v>12</v>
      </c>
      <c r="T88" s="17">
        <v>21</v>
      </c>
      <c r="U88" s="17">
        <v>23</v>
      </c>
      <c r="V88" s="17">
        <f t="shared" si="30"/>
        <v>22</v>
      </c>
      <c r="W88" s="16">
        <v>1000</v>
      </c>
      <c r="X88" s="16">
        <f>1690.5-1670.9</f>
        <v>19.599999999999909</v>
      </c>
      <c r="Y88" s="18">
        <f t="shared" si="31"/>
        <v>8.050166609465732</v>
      </c>
    </row>
    <row r="89" spans="1:25" x14ac:dyDescent="0.2">
      <c r="A89" s="10" t="s">
        <v>13</v>
      </c>
      <c r="B89" s="17">
        <v>43</v>
      </c>
      <c r="C89" s="17">
        <v>55</v>
      </c>
      <c r="D89" s="17">
        <f t="shared" si="26"/>
        <v>49</v>
      </c>
      <c r="E89" s="16">
        <v>100</v>
      </c>
      <c r="F89" s="16">
        <f>1680.5-1665.8</f>
        <v>14.700000000000045</v>
      </c>
      <c r="G89" s="18">
        <f t="shared" si="27"/>
        <v>7.5228787452803365</v>
      </c>
      <c r="J89" s="10" t="s">
        <v>13</v>
      </c>
      <c r="K89" s="17">
        <v>16</v>
      </c>
      <c r="L89" s="17">
        <v>17</v>
      </c>
      <c r="M89" s="17">
        <f t="shared" si="28"/>
        <v>16.5</v>
      </c>
      <c r="N89" s="16">
        <v>100</v>
      </c>
      <c r="O89" s="16">
        <f>1730.5-1715.3</f>
        <v>15.200000000000045</v>
      </c>
      <c r="P89" s="18">
        <f t="shared" si="29"/>
        <v>7.0356403562691323</v>
      </c>
      <c r="S89" s="10" t="s">
        <v>13</v>
      </c>
      <c r="T89" s="17">
        <v>83</v>
      </c>
      <c r="U89" s="17">
        <v>94</v>
      </c>
      <c r="V89" s="17">
        <f t="shared" si="30"/>
        <v>88.5</v>
      </c>
      <c r="W89" s="16">
        <v>1000</v>
      </c>
      <c r="X89" s="16">
        <f>1926.4-1898.2</f>
        <v>28.200000000000045</v>
      </c>
      <c r="Y89" s="18">
        <f t="shared" si="31"/>
        <v>8.4966941623784642</v>
      </c>
    </row>
    <row r="90" spans="1:25" ht="17" x14ac:dyDescent="0.2">
      <c r="A90" s="8" t="s">
        <v>14</v>
      </c>
      <c r="B90" s="19">
        <v>24</v>
      </c>
      <c r="C90" s="19">
        <v>26</v>
      </c>
      <c r="D90" s="17">
        <f t="shared" si="26"/>
        <v>25</v>
      </c>
      <c r="E90" s="14">
        <v>1000</v>
      </c>
      <c r="F90" s="14">
        <f>1697.9-1673.8</f>
        <v>24.100000000000136</v>
      </c>
      <c r="G90" s="18">
        <f t="shared" si="27"/>
        <v>8.0159229660971665</v>
      </c>
      <c r="J90" s="8" t="s">
        <v>14</v>
      </c>
      <c r="K90" s="19">
        <v>18</v>
      </c>
      <c r="L90" s="19">
        <v>29</v>
      </c>
      <c r="M90" s="17">
        <f t="shared" si="28"/>
        <v>23.5</v>
      </c>
      <c r="N90" s="14">
        <v>10</v>
      </c>
      <c r="O90" s="14">
        <f>1838-1811.8</f>
        <v>26.200000000000045</v>
      </c>
      <c r="P90" s="18">
        <f t="shared" si="29"/>
        <v>5.9527665709519901</v>
      </c>
      <c r="S90" s="8" t="s">
        <v>14</v>
      </c>
      <c r="T90" s="19">
        <v>2</v>
      </c>
      <c r="U90" s="19">
        <v>6</v>
      </c>
      <c r="V90" s="17">
        <f t="shared" si="30"/>
        <v>4</v>
      </c>
      <c r="W90" s="14">
        <v>10000</v>
      </c>
      <c r="X90" s="14">
        <f>1813.6-1791.3</f>
        <v>22.299999999999955</v>
      </c>
      <c r="Y90" s="18">
        <f t="shared" si="31"/>
        <v>8.2537551282798027</v>
      </c>
    </row>
    <row r="91" spans="1:25" x14ac:dyDescent="0.2">
      <c r="A91" s="10" t="s">
        <v>15</v>
      </c>
      <c r="B91" s="17">
        <v>4</v>
      </c>
      <c r="C91" s="17">
        <v>5</v>
      </c>
      <c r="D91" s="17">
        <f t="shared" si="26"/>
        <v>4.5</v>
      </c>
      <c r="E91" s="16">
        <v>100</v>
      </c>
      <c r="F91" s="16">
        <f>1871.2-1835</f>
        <v>36.200000000000045</v>
      </c>
      <c r="G91" s="18">
        <f t="shared" si="27"/>
        <v>6.0945039432421773</v>
      </c>
      <c r="J91" s="10" t="s">
        <v>15</v>
      </c>
      <c r="K91" s="17">
        <v>8</v>
      </c>
      <c r="L91" s="17">
        <v>11</v>
      </c>
      <c r="M91" s="17">
        <f t="shared" si="28"/>
        <v>9.5</v>
      </c>
      <c r="N91" s="16">
        <v>100</v>
      </c>
      <c r="O91" s="16">
        <f>1827.8-1792.6</f>
        <v>35.200000000000045</v>
      </c>
      <c r="P91" s="18">
        <f t="shared" si="29"/>
        <v>6.431180941810716</v>
      </c>
      <c r="S91" s="10" t="s">
        <v>15</v>
      </c>
      <c r="T91" s="17">
        <v>3</v>
      </c>
      <c r="U91" s="17">
        <v>7</v>
      </c>
      <c r="V91" s="17">
        <f t="shared" si="30"/>
        <v>5</v>
      </c>
      <c r="W91" s="16">
        <v>10</v>
      </c>
      <c r="X91" s="20">
        <f>AVERAGE(X86:X90)</f>
        <v>23.1</v>
      </c>
      <c r="Y91" s="18">
        <f t="shared" si="31"/>
        <v>5.3353580244438747</v>
      </c>
    </row>
    <row r="92" spans="1:25" x14ac:dyDescent="0.2">
      <c r="A92" s="10" t="s">
        <v>16</v>
      </c>
      <c r="B92" s="17">
        <v>0</v>
      </c>
      <c r="C92" s="17">
        <v>0</v>
      </c>
      <c r="D92" s="17">
        <f t="shared" si="26"/>
        <v>0</v>
      </c>
      <c r="E92" s="16">
        <v>1</v>
      </c>
      <c r="F92" s="16">
        <f>1737.4-1694.2</f>
        <v>43.200000000000045</v>
      </c>
      <c r="G92" s="18" t="e">
        <f t="shared" si="27"/>
        <v>#NUM!</v>
      </c>
      <c r="J92" s="10" t="s">
        <v>16</v>
      </c>
      <c r="K92" s="17">
        <v>14</v>
      </c>
      <c r="L92" s="17">
        <v>7</v>
      </c>
      <c r="M92" s="17">
        <f t="shared" si="28"/>
        <v>10.5</v>
      </c>
      <c r="N92" s="16">
        <v>100</v>
      </c>
      <c r="O92" s="16">
        <f>1824.9-1757.2</f>
        <v>67.700000000000045</v>
      </c>
      <c r="P92" s="18">
        <f t="shared" si="29"/>
        <v>6.1906006303847931</v>
      </c>
      <c r="S92" s="10" t="s">
        <v>16</v>
      </c>
      <c r="T92" s="17">
        <v>8</v>
      </c>
      <c r="U92" s="17">
        <v>4</v>
      </c>
      <c r="V92" s="17">
        <f t="shared" si="30"/>
        <v>6</v>
      </c>
      <c r="W92" s="16">
        <v>1</v>
      </c>
      <c r="X92" s="16">
        <f>1709.2-1684.2</f>
        <v>25</v>
      </c>
      <c r="Y92" s="18">
        <f t="shared" si="31"/>
        <v>4.3802112417116064</v>
      </c>
    </row>
    <row r="93" spans="1:25" x14ac:dyDescent="0.2">
      <c r="A93" s="10" t="s">
        <v>17</v>
      </c>
      <c r="B93" s="17">
        <v>0</v>
      </c>
      <c r="C93" s="17">
        <v>0</v>
      </c>
      <c r="D93" s="17">
        <f t="shared" si="26"/>
        <v>0</v>
      </c>
      <c r="E93" s="16">
        <v>1</v>
      </c>
      <c r="F93" s="16">
        <f>1705.7-1687.2</f>
        <v>18.5</v>
      </c>
      <c r="G93" s="18" t="e">
        <f t="shared" si="27"/>
        <v>#NUM!</v>
      </c>
      <c r="J93" s="10" t="s">
        <v>17</v>
      </c>
      <c r="K93" s="17">
        <v>7</v>
      </c>
      <c r="L93" s="17">
        <v>14</v>
      </c>
      <c r="M93" s="17">
        <f t="shared" si="28"/>
        <v>10.5</v>
      </c>
      <c r="N93" s="16">
        <v>100</v>
      </c>
      <c r="O93" s="16">
        <f>1681.5-1658.8</f>
        <v>22.700000000000045</v>
      </c>
      <c r="P93" s="18">
        <f t="shared" si="29"/>
        <v>6.6651634418768149</v>
      </c>
      <c r="S93" s="10" t="s">
        <v>17</v>
      </c>
      <c r="T93" s="17">
        <v>0</v>
      </c>
      <c r="U93" s="17">
        <v>0</v>
      </c>
      <c r="V93" s="17">
        <f t="shared" si="30"/>
        <v>0</v>
      </c>
      <c r="W93" s="16">
        <v>1</v>
      </c>
      <c r="X93" s="16">
        <f>1654.9-1596.9</f>
        <v>58</v>
      </c>
      <c r="Y93" s="18" t="e">
        <f t="shared" si="31"/>
        <v>#NUM!</v>
      </c>
    </row>
    <row r="94" spans="1:25" x14ac:dyDescent="0.2">
      <c r="A94" s="10" t="s">
        <v>18</v>
      </c>
      <c r="B94" s="17">
        <v>1</v>
      </c>
      <c r="C94" s="17">
        <v>1</v>
      </c>
      <c r="D94" s="17">
        <f t="shared" si="26"/>
        <v>1</v>
      </c>
      <c r="E94" s="16">
        <v>1</v>
      </c>
      <c r="F94" s="16">
        <f>1773.3-1755.4</f>
        <v>17.899999999999864</v>
      </c>
      <c r="G94" s="18">
        <f t="shared" si="27"/>
        <v>3.7471469690201102</v>
      </c>
      <c r="J94" s="10" t="s">
        <v>18</v>
      </c>
      <c r="K94" s="17">
        <v>8</v>
      </c>
      <c r="L94" s="17">
        <v>4</v>
      </c>
      <c r="M94" s="17">
        <f t="shared" si="28"/>
        <v>6</v>
      </c>
      <c r="N94" s="16">
        <v>10</v>
      </c>
      <c r="O94" s="16">
        <f>1705.6-1686.2</f>
        <v>19.399999999999864</v>
      </c>
      <c r="P94" s="18">
        <f t="shared" si="29"/>
        <v>5.490349520453421</v>
      </c>
      <c r="S94" s="10" t="s">
        <v>18</v>
      </c>
      <c r="T94" s="17">
        <v>1</v>
      </c>
      <c r="U94" s="17">
        <v>2</v>
      </c>
      <c r="V94" s="17">
        <f t="shared" si="30"/>
        <v>1.5</v>
      </c>
      <c r="W94" s="16">
        <v>1</v>
      </c>
      <c r="X94" s="16">
        <f>1730.4-1713.1</f>
        <v>17.300000000000182</v>
      </c>
      <c r="Y94" s="18">
        <f t="shared" si="31"/>
        <v>3.9380451559268814</v>
      </c>
    </row>
    <row r="95" spans="1:25" x14ac:dyDescent="0.2">
      <c r="A95" s="10" t="s">
        <v>44</v>
      </c>
      <c r="B95" s="17">
        <v>2</v>
      </c>
      <c r="C95" s="17">
        <v>0</v>
      </c>
      <c r="D95" s="17">
        <f t="shared" si="26"/>
        <v>1</v>
      </c>
      <c r="E95" s="10">
        <v>1</v>
      </c>
      <c r="F95" s="10">
        <f>1690.8-1671.9</f>
        <v>18.899999999999864</v>
      </c>
      <c r="G95" s="18">
        <f t="shared" si="27"/>
        <v>3.7235381958267588</v>
      </c>
      <c r="J95" s="10" t="s">
        <v>44</v>
      </c>
      <c r="K95" s="17">
        <v>8</v>
      </c>
      <c r="L95" s="17">
        <v>8</v>
      </c>
      <c r="M95" s="17">
        <f t="shared" si="28"/>
        <v>8</v>
      </c>
      <c r="N95" s="10">
        <v>10</v>
      </c>
      <c r="O95" s="10">
        <f>1736.5-1695.2</f>
        <v>41.299999999999955</v>
      </c>
      <c r="P95" s="18">
        <f t="shared" si="29"/>
        <v>5.2871399353355431</v>
      </c>
      <c r="S95" s="10" t="s">
        <v>44</v>
      </c>
      <c r="T95" s="17">
        <v>0</v>
      </c>
      <c r="U95" s="17">
        <v>0</v>
      </c>
      <c r="V95" s="17">
        <f t="shared" si="30"/>
        <v>0</v>
      </c>
      <c r="W95" s="16">
        <v>1</v>
      </c>
      <c r="X95" s="16">
        <f>1756.9-1722.4</f>
        <v>34.5</v>
      </c>
      <c r="Y95" s="18" t="e">
        <f t="shared" si="31"/>
        <v>#NUM!</v>
      </c>
    </row>
    <row r="96" spans="1:25" x14ac:dyDescent="0.2">
      <c r="A96" s="10" t="s">
        <v>45</v>
      </c>
      <c r="B96" s="17">
        <v>2</v>
      </c>
      <c r="C96" s="17">
        <v>4</v>
      </c>
      <c r="D96" s="17">
        <f t="shared" ref="D96:D105" si="32">AVERAGE(B96:C96)</f>
        <v>3</v>
      </c>
      <c r="E96" s="10">
        <v>1</v>
      </c>
      <c r="F96" s="10">
        <f>1851.8-1759.6</f>
        <v>92.200000000000045</v>
      </c>
      <c r="G96" s="18">
        <f t="shared" si="27"/>
        <v>3.5123903336660329</v>
      </c>
      <c r="J96" s="10" t="s">
        <v>45</v>
      </c>
      <c r="K96" s="17">
        <v>13</v>
      </c>
      <c r="L96" s="17">
        <v>11</v>
      </c>
      <c r="M96" s="17">
        <f t="shared" si="28"/>
        <v>12</v>
      </c>
      <c r="N96" s="10">
        <v>10</v>
      </c>
      <c r="O96" s="10">
        <f>1729.8-1653.5</f>
        <v>76.299999999999955</v>
      </c>
      <c r="P96" s="18">
        <f t="shared" si="29"/>
        <v>5.1966567080927444</v>
      </c>
      <c r="S96" s="10" t="s">
        <v>45</v>
      </c>
      <c r="T96" s="17">
        <v>0</v>
      </c>
      <c r="U96" s="17">
        <v>0</v>
      </c>
      <c r="V96" s="17">
        <f t="shared" si="30"/>
        <v>0</v>
      </c>
      <c r="W96" s="10">
        <v>1</v>
      </c>
      <c r="X96" s="10">
        <f>1713-1682.4</f>
        <v>30.599999999999909</v>
      </c>
      <c r="Y96" s="18" t="e">
        <f t="shared" si="31"/>
        <v>#NUM!</v>
      </c>
    </row>
    <row r="97" spans="1:25" x14ac:dyDescent="0.2">
      <c r="A97" s="10" t="s">
        <v>46</v>
      </c>
      <c r="B97" s="17">
        <v>6</v>
      </c>
      <c r="C97" s="17">
        <v>3</v>
      </c>
      <c r="D97" s="17">
        <f t="shared" si="32"/>
        <v>4.5</v>
      </c>
      <c r="E97" s="10">
        <v>1</v>
      </c>
      <c r="F97" s="10">
        <f>1797.1-1754.1</f>
        <v>43</v>
      </c>
      <c r="G97" s="18">
        <f t="shared" si="27"/>
        <v>4.0197440581957569</v>
      </c>
      <c r="J97" s="10" t="s">
        <v>46</v>
      </c>
      <c r="K97" s="17">
        <v>8</v>
      </c>
      <c r="L97" s="17">
        <v>14</v>
      </c>
      <c r="M97" s="17">
        <f t="shared" si="28"/>
        <v>11</v>
      </c>
      <c r="N97" s="10">
        <v>10</v>
      </c>
      <c r="O97" s="10">
        <f>1921-1872.7</f>
        <v>48.299999999999955</v>
      </c>
      <c r="P97" s="18">
        <f t="shared" si="29"/>
        <v>5.3574455544067137</v>
      </c>
      <c r="S97" s="10" t="s">
        <v>46</v>
      </c>
      <c r="T97" s="17">
        <v>0</v>
      </c>
      <c r="U97" s="17">
        <v>0</v>
      </c>
      <c r="V97" s="17">
        <f t="shared" si="30"/>
        <v>0</v>
      </c>
      <c r="W97" s="10">
        <v>1</v>
      </c>
      <c r="X97" s="10">
        <f>1798.6-1759.1</f>
        <v>39.5</v>
      </c>
      <c r="Y97" s="18" t="e">
        <f t="shared" si="31"/>
        <v>#NUM!</v>
      </c>
    </row>
    <row r="98" spans="1:25" x14ac:dyDescent="0.2">
      <c r="A98" s="10" t="s">
        <v>47</v>
      </c>
      <c r="B98" s="17">
        <v>0</v>
      </c>
      <c r="C98" s="17">
        <v>1</v>
      </c>
      <c r="D98" s="17">
        <f t="shared" si="32"/>
        <v>0.5</v>
      </c>
      <c r="E98" s="10">
        <v>1</v>
      </c>
      <c r="F98" s="10">
        <f>1879.9-1827.1</f>
        <v>52.800000000000182</v>
      </c>
      <c r="G98" s="18">
        <f t="shared" si="27"/>
        <v>2.9763360818022049</v>
      </c>
      <c r="J98" s="10" t="s">
        <v>47</v>
      </c>
      <c r="K98" s="17">
        <v>7</v>
      </c>
      <c r="L98" s="17">
        <v>8</v>
      </c>
      <c r="M98" s="17">
        <f t="shared" si="28"/>
        <v>7.5</v>
      </c>
      <c r="N98" s="10">
        <v>10</v>
      </c>
      <c r="O98" s="10">
        <f>1851.9-1709.8</f>
        <v>142.10000000000014</v>
      </c>
      <c r="P98" s="18">
        <f t="shared" si="29"/>
        <v>4.7224671854642297</v>
      </c>
      <c r="S98" s="10" t="s">
        <v>47</v>
      </c>
      <c r="T98" s="17">
        <v>0</v>
      </c>
      <c r="U98" s="17">
        <v>0</v>
      </c>
      <c r="V98" s="17">
        <f t="shared" si="30"/>
        <v>0</v>
      </c>
      <c r="W98" s="10">
        <v>1</v>
      </c>
      <c r="X98" s="10">
        <f>1749.2-1729.7</f>
        <v>19.5</v>
      </c>
      <c r="Y98" s="18" t="e">
        <f t="shared" si="31"/>
        <v>#NUM!</v>
      </c>
    </row>
    <row r="99" spans="1:25" x14ac:dyDescent="0.2">
      <c r="A99" s="10" t="s">
        <v>48</v>
      </c>
      <c r="B99" s="17">
        <v>0</v>
      </c>
      <c r="C99" s="17">
        <v>0</v>
      </c>
      <c r="D99" s="17">
        <f t="shared" si="32"/>
        <v>0</v>
      </c>
      <c r="E99" s="10">
        <v>1</v>
      </c>
      <c r="F99" s="10">
        <f>1759.3-1720.3</f>
        <v>39</v>
      </c>
      <c r="G99" s="18" t="e">
        <f t="shared" si="27"/>
        <v>#NUM!</v>
      </c>
      <c r="J99" s="10" t="s">
        <v>48</v>
      </c>
      <c r="K99" s="17">
        <v>7</v>
      </c>
      <c r="L99" s="17">
        <v>5</v>
      </c>
      <c r="M99" s="17">
        <f t="shared" si="28"/>
        <v>6</v>
      </c>
      <c r="N99" s="10">
        <v>10</v>
      </c>
      <c r="O99" s="10">
        <f>1788.8-1723</f>
        <v>65.799999999999955</v>
      </c>
      <c r="P99" s="18">
        <f t="shared" si="29"/>
        <v>4.9599253567696886</v>
      </c>
      <c r="S99" s="10" t="s">
        <v>48</v>
      </c>
      <c r="T99" s="17">
        <v>0</v>
      </c>
      <c r="U99" s="17">
        <v>0</v>
      </c>
      <c r="V99" s="17">
        <f t="shared" si="30"/>
        <v>0</v>
      </c>
      <c r="W99" s="10">
        <v>1</v>
      </c>
      <c r="X99" s="10">
        <f>1657.2-1633</f>
        <v>24.200000000000045</v>
      </c>
      <c r="Y99" s="18" t="e">
        <f t="shared" si="31"/>
        <v>#NUM!</v>
      </c>
    </row>
    <row r="100" spans="1:25" x14ac:dyDescent="0.2">
      <c r="A100" s="10" t="s">
        <v>49</v>
      </c>
      <c r="B100" s="17">
        <v>0</v>
      </c>
      <c r="C100" s="17">
        <v>0</v>
      </c>
      <c r="D100" s="17">
        <f t="shared" si="32"/>
        <v>0</v>
      </c>
      <c r="E100" s="10">
        <v>1</v>
      </c>
      <c r="F100" s="10">
        <f>1660.5-1637.8</f>
        <v>22.700000000000045</v>
      </c>
      <c r="G100" s="18" t="e">
        <f t="shared" si="27"/>
        <v>#NUM!</v>
      </c>
      <c r="J100" s="10" t="s">
        <v>49</v>
      </c>
      <c r="K100" s="17">
        <v>6</v>
      </c>
      <c r="L100" s="17">
        <v>12</v>
      </c>
      <c r="M100" s="17">
        <f t="shared" si="28"/>
        <v>9</v>
      </c>
      <c r="N100" s="10">
        <v>10</v>
      </c>
      <c r="O100" s="10">
        <f>1779.9-1713.4</f>
        <v>66.5</v>
      </c>
      <c r="P100" s="18">
        <f t="shared" si="29"/>
        <v>5.1314208641362207</v>
      </c>
      <c r="S100" s="10" t="s">
        <v>49</v>
      </c>
      <c r="T100" s="17">
        <v>0</v>
      </c>
      <c r="U100" s="17">
        <v>0</v>
      </c>
      <c r="V100" s="17">
        <f t="shared" si="30"/>
        <v>0</v>
      </c>
      <c r="W100" s="10">
        <v>1</v>
      </c>
      <c r="X100" s="10">
        <f>1617.2-1587.9</f>
        <v>29.299999999999955</v>
      </c>
      <c r="Y100" s="18" t="e">
        <f t="shared" si="31"/>
        <v>#NUM!</v>
      </c>
    </row>
    <row r="101" spans="1:25" x14ac:dyDescent="0.2">
      <c r="A101" s="10" t="s">
        <v>50</v>
      </c>
      <c r="B101" s="17">
        <v>0</v>
      </c>
      <c r="C101" s="17">
        <v>0</v>
      </c>
      <c r="D101" s="17">
        <f t="shared" si="32"/>
        <v>0</v>
      </c>
      <c r="E101" s="10">
        <v>1</v>
      </c>
      <c r="F101" s="10">
        <f>1701.4-1674.4</f>
        <v>27</v>
      </c>
      <c r="G101" s="18" t="e">
        <f t="shared" si="27"/>
        <v>#NUM!</v>
      </c>
      <c r="J101" s="10" t="s">
        <v>50</v>
      </c>
      <c r="K101" s="17">
        <v>9</v>
      </c>
      <c r="L101" s="17">
        <v>4</v>
      </c>
      <c r="M101" s="17">
        <f t="shared" si="28"/>
        <v>6.5</v>
      </c>
      <c r="N101" s="10">
        <v>10</v>
      </c>
      <c r="O101" s="10">
        <f>1756.7-1734.7</f>
        <v>22</v>
      </c>
      <c r="P101" s="18">
        <f t="shared" si="29"/>
        <v>5.4704906758206491</v>
      </c>
      <c r="S101" s="10" t="s">
        <v>50</v>
      </c>
      <c r="T101" s="17">
        <v>0</v>
      </c>
      <c r="U101" s="17">
        <v>0</v>
      </c>
      <c r="V101" s="17">
        <f t="shared" si="30"/>
        <v>0</v>
      </c>
      <c r="W101" s="10">
        <v>1</v>
      </c>
      <c r="X101" s="10">
        <f>1690.2-1671</f>
        <v>19.200000000000045</v>
      </c>
      <c r="Y101" s="18" t="e">
        <f t="shared" si="31"/>
        <v>#NUM!</v>
      </c>
    </row>
    <row r="102" spans="1:25" x14ac:dyDescent="0.2">
      <c r="A102" s="10" t="s">
        <v>51</v>
      </c>
      <c r="B102" s="17">
        <v>0</v>
      </c>
      <c r="C102" s="17">
        <v>0</v>
      </c>
      <c r="D102" s="17">
        <f t="shared" si="32"/>
        <v>0</v>
      </c>
      <c r="E102" s="10">
        <v>1</v>
      </c>
      <c r="F102" s="10">
        <f>1746.7-1657.5</f>
        <v>89.200000000000045</v>
      </c>
      <c r="G102" s="18" t="e">
        <f t="shared" si="27"/>
        <v>#NUM!</v>
      </c>
      <c r="J102" s="10" t="s">
        <v>51</v>
      </c>
      <c r="K102" s="17">
        <v>5</v>
      </c>
      <c r="L102" s="17">
        <v>7</v>
      </c>
      <c r="M102" s="17">
        <f t="shared" si="28"/>
        <v>6</v>
      </c>
      <c r="N102" s="10">
        <v>10</v>
      </c>
      <c r="O102" s="10">
        <f>1839.3-1769.8</f>
        <v>69.5</v>
      </c>
      <c r="P102" s="18">
        <f t="shared" si="29"/>
        <v>4.9361664457935301</v>
      </c>
      <c r="S102" s="10" t="s">
        <v>51</v>
      </c>
      <c r="T102" s="17">
        <v>0</v>
      </c>
      <c r="U102" s="17">
        <v>0</v>
      </c>
      <c r="V102" s="17">
        <f t="shared" si="30"/>
        <v>0</v>
      </c>
      <c r="W102" s="10">
        <v>1</v>
      </c>
      <c r="X102" s="10">
        <f>1813.8-1791</f>
        <v>22.799999999999955</v>
      </c>
      <c r="Y102" s="18" t="e">
        <f t="shared" si="31"/>
        <v>#NUM!</v>
      </c>
    </row>
    <row r="103" spans="1:25" x14ac:dyDescent="0.2">
      <c r="A103" s="10" t="s">
        <v>52</v>
      </c>
      <c r="B103" s="17">
        <v>0</v>
      </c>
      <c r="C103" s="17">
        <v>0</v>
      </c>
      <c r="D103" s="17">
        <f t="shared" si="32"/>
        <v>0</v>
      </c>
      <c r="E103" s="10">
        <v>1</v>
      </c>
      <c r="F103" s="10">
        <f>1673.6-1623.6</f>
        <v>50</v>
      </c>
      <c r="G103" s="18" t="e">
        <f t="shared" si="27"/>
        <v>#NUM!</v>
      </c>
      <c r="J103" s="10" t="s">
        <v>52</v>
      </c>
      <c r="K103" s="17">
        <v>0</v>
      </c>
      <c r="L103" s="17">
        <v>0</v>
      </c>
      <c r="M103" s="17">
        <f t="shared" si="28"/>
        <v>0</v>
      </c>
      <c r="N103" s="10">
        <v>1</v>
      </c>
      <c r="O103" s="10">
        <f>1856.1-1773.4</f>
        <v>82.699999999999818</v>
      </c>
      <c r="P103" s="18" t="e">
        <f t="shared" si="29"/>
        <v>#NUM!</v>
      </c>
      <c r="S103" s="10" t="s">
        <v>52</v>
      </c>
      <c r="T103" s="17">
        <v>0</v>
      </c>
      <c r="U103" s="17">
        <v>0</v>
      </c>
      <c r="V103" s="17">
        <f t="shared" si="30"/>
        <v>0</v>
      </c>
      <c r="W103" s="10">
        <v>1</v>
      </c>
      <c r="X103" s="10">
        <f>1742.9-1735.2</f>
        <v>7.7000000000000455</v>
      </c>
      <c r="Y103" s="18" t="e">
        <f t="shared" si="31"/>
        <v>#NUM!</v>
      </c>
    </row>
    <row r="104" spans="1:25" x14ac:dyDescent="0.2">
      <c r="A104" s="10" t="s">
        <v>53</v>
      </c>
      <c r="B104" s="17">
        <v>0</v>
      </c>
      <c r="C104" s="17">
        <v>0</v>
      </c>
      <c r="D104" s="17">
        <f t="shared" si="32"/>
        <v>0</v>
      </c>
      <c r="E104" s="10">
        <v>1</v>
      </c>
      <c r="F104" s="10">
        <f>1697.4-1669.2</f>
        <v>28.200000000000045</v>
      </c>
      <c r="G104" s="18" t="e">
        <f t="shared" si="27"/>
        <v>#NUM!</v>
      </c>
      <c r="J104" s="10" t="s">
        <v>53</v>
      </c>
      <c r="K104" s="17">
        <v>0</v>
      </c>
      <c r="L104" s="17">
        <v>0</v>
      </c>
      <c r="M104" s="17">
        <f t="shared" si="28"/>
        <v>0</v>
      </c>
      <c r="N104" s="10">
        <v>1</v>
      </c>
      <c r="O104" s="10">
        <f>1719.9-1702.9</f>
        <v>17</v>
      </c>
      <c r="P104" s="18" t="e">
        <f t="shared" si="29"/>
        <v>#NUM!</v>
      </c>
      <c r="S104" s="10" t="s">
        <v>53</v>
      </c>
      <c r="T104" s="17">
        <v>0</v>
      </c>
      <c r="U104" s="17">
        <v>0</v>
      </c>
      <c r="V104" s="17">
        <f t="shared" si="30"/>
        <v>0</v>
      </c>
      <c r="W104" s="10">
        <v>1</v>
      </c>
      <c r="X104" s="10">
        <f>1776.5-1737.8</f>
        <v>38.700000000000045</v>
      </c>
      <c r="Y104" s="18" t="e">
        <f t="shared" si="31"/>
        <v>#NUM!</v>
      </c>
    </row>
    <row r="105" spans="1:25" x14ac:dyDescent="0.2">
      <c r="A105" s="10" t="s">
        <v>54</v>
      </c>
      <c r="B105" s="17">
        <v>0</v>
      </c>
      <c r="C105" s="17">
        <v>0</v>
      </c>
      <c r="D105" s="17">
        <f t="shared" si="32"/>
        <v>0</v>
      </c>
      <c r="E105" s="10">
        <v>1</v>
      </c>
      <c r="F105" s="10">
        <f>1707.4-1605.6</f>
        <v>101.80000000000018</v>
      </c>
      <c r="G105" s="18" t="e">
        <f t="shared" si="27"/>
        <v>#NUM!</v>
      </c>
      <c r="J105" s="10" t="s">
        <v>54</v>
      </c>
      <c r="K105" s="17">
        <v>0</v>
      </c>
      <c r="L105" s="17">
        <v>0</v>
      </c>
      <c r="M105" s="17">
        <f t="shared" si="28"/>
        <v>0</v>
      </c>
      <c r="N105" s="10">
        <v>1</v>
      </c>
      <c r="O105" s="10">
        <f>1761-1675.5</f>
        <v>85.5</v>
      </c>
      <c r="P105" s="18" t="e">
        <f t="shared" si="29"/>
        <v>#NUM!</v>
      </c>
      <c r="S105" s="10" t="s">
        <v>54</v>
      </c>
      <c r="T105" s="17">
        <v>0</v>
      </c>
      <c r="U105" s="17">
        <v>0</v>
      </c>
      <c r="V105" s="17">
        <f t="shared" si="30"/>
        <v>0</v>
      </c>
      <c r="W105" s="10">
        <v>1</v>
      </c>
      <c r="X105" s="10">
        <f>1946.9-1834.7</f>
        <v>112.20000000000005</v>
      </c>
      <c r="Y105" s="18" t="e">
        <f t="shared" si="31"/>
        <v>#NUM!</v>
      </c>
    </row>
    <row r="106" spans="1:25" x14ac:dyDescent="0.2">
      <c r="G106" s="18"/>
    </row>
  </sheetData>
  <mergeCells count="15">
    <mergeCell ref="T1:U1"/>
    <mergeCell ref="T22:U22"/>
    <mergeCell ref="T43:U43"/>
    <mergeCell ref="T64:U64"/>
    <mergeCell ref="T85:U85"/>
    <mergeCell ref="B1:C1"/>
    <mergeCell ref="B22:C22"/>
    <mergeCell ref="B43:C43"/>
    <mergeCell ref="B64:C64"/>
    <mergeCell ref="B85:C85"/>
    <mergeCell ref="K1:L1"/>
    <mergeCell ref="K22:L22"/>
    <mergeCell ref="K43:L43"/>
    <mergeCell ref="K64:L64"/>
    <mergeCell ref="K85:L8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362E3-C83D-664A-96EE-02A855683BEC}">
  <dimension ref="A1:G7"/>
  <sheetViews>
    <sheetView workbookViewId="0">
      <selection activeCell="C8" sqref="C8"/>
    </sheetView>
  </sheetViews>
  <sheetFormatPr baseColWidth="10" defaultRowHeight="16" x14ac:dyDescent="0.2"/>
  <cols>
    <col min="1" max="1" width="15.1640625" customWidth="1"/>
    <col min="6" max="6" width="12.33203125" customWidth="1"/>
    <col min="7" max="7" width="13.1640625" customWidth="1"/>
  </cols>
  <sheetData>
    <row r="1" spans="1:7" ht="52" customHeight="1" x14ac:dyDescent="0.2">
      <c r="A1" s="13" t="s">
        <v>26</v>
      </c>
      <c r="B1" s="29" t="s">
        <v>7</v>
      </c>
      <c r="C1" s="29"/>
      <c r="D1" s="14" t="s">
        <v>8</v>
      </c>
      <c r="E1" s="14" t="s">
        <v>9</v>
      </c>
      <c r="F1" s="14" t="s">
        <v>10</v>
      </c>
      <c r="G1" s="15" t="s">
        <v>11</v>
      </c>
    </row>
    <row r="2" spans="1:7" x14ac:dyDescent="0.2">
      <c r="A2" s="10" t="s">
        <v>37</v>
      </c>
      <c r="B2" s="17">
        <v>7</v>
      </c>
      <c r="C2" s="17">
        <v>2</v>
      </c>
      <c r="D2" s="17">
        <f>AVERAGE(B2:C2)</f>
        <v>4.5</v>
      </c>
      <c r="E2" s="16">
        <v>10</v>
      </c>
      <c r="F2" s="16">
        <f>2803.7-1715.6</f>
        <v>1088.0999999999999</v>
      </c>
      <c r="G2" s="18">
        <f>LOG10(D2*100*E2/F2*1000)</f>
        <v>3.616543703475247</v>
      </c>
    </row>
    <row r="3" spans="1:7" x14ac:dyDescent="0.2">
      <c r="A3" s="10" t="s">
        <v>38</v>
      </c>
      <c r="B3" s="17">
        <v>8</v>
      </c>
      <c r="C3" s="17">
        <v>13</v>
      </c>
      <c r="D3" s="17">
        <f t="shared" ref="D3:D7" si="0">AVERAGE(B3:C3)</f>
        <v>10.5</v>
      </c>
      <c r="E3" s="16">
        <v>10000</v>
      </c>
      <c r="F3" s="16">
        <f>2157.2-1736.4</f>
        <v>420.79999999999973</v>
      </c>
      <c r="G3" s="18">
        <f>LOG10(D3*100*E3/F3*1000)</f>
        <v>7.3971135679242561</v>
      </c>
    </row>
    <row r="4" spans="1:7" x14ac:dyDescent="0.2">
      <c r="A4" s="10" t="s">
        <v>39</v>
      </c>
      <c r="B4" s="17">
        <v>37</v>
      </c>
      <c r="C4" s="17">
        <v>33</v>
      </c>
      <c r="D4" s="17">
        <f t="shared" si="0"/>
        <v>35</v>
      </c>
      <c r="E4" s="16">
        <v>100</v>
      </c>
      <c r="F4" s="16">
        <f>1867.5-1740.2</f>
        <v>127.29999999999995</v>
      </c>
      <c r="G4" s="18">
        <f t="shared" ref="G4:G7" si="1">LOG10(D4*100*E4/F4*1000)</f>
        <v>6.4392396406966208</v>
      </c>
    </row>
    <row r="5" spans="1:7" x14ac:dyDescent="0.2">
      <c r="A5" s="10" t="s">
        <v>40</v>
      </c>
      <c r="B5" s="17"/>
      <c r="C5" s="17">
        <v>46</v>
      </c>
      <c r="D5" s="17">
        <f t="shared" si="0"/>
        <v>46</v>
      </c>
      <c r="E5" s="16">
        <v>1000</v>
      </c>
      <c r="F5" s="16">
        <f>1887.2-1856.8</f>
        <v>30.400000000000091</v>
      </c>
      <c r="G5" s="18">
        <f t="shared" si="1"/>
        <v>8.1798842480728187</v>
      </c>
    </row>
    <row r="6" spans="1:7" ht="17" x14ac:dyDescent="0.2">
      <c r="A6" s="8" t="s">
        <v>41</v>
      </c>
      <c r="B6" s="19">
        <v>0</v>
      </c>
      <c r="C6" s="19">
        <v>0</v>
      </c>
      <c r="D6" s="17">
        <f t="shared" si="0"/>
        <v>0</v>
      </c>
      <c r="E6" s="14">
        <v>1</v>
      </c>
      <c r="F6" s="14">
        <f>1984-1839</f>
        <v>145</v>
      </c>
      <c r="G6" s="18" t="e">
        <f t="shared" si="1"/>
        <v>#NUM!</v>
      </c>
    </row>
    <row r="7" spans="1:7" x14ac:dyDescent="0.2">
      <c r="A7" s="10" t="s">
        <v>42</v>
      </c>
      <c r="B7" s="17">
        <v>0</v>
      </c>
      <c r="C7" s="17">
        <v>0</v>
      </c>
      <c r="D7" s="17">
        <f t="shared" si="0"/>
        <v>0</v>
      </c>
      <c r="E7" s="16">
        <v>1</v>
      </c>
      <c r="F7" s="16">
        <f>2001.4-1699.9</f>
        <v>301.5</v>
      </c>
      <c r="G7" s="18" t="e">
        <f t="shared" si="1"/>
        <v>#NUM!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dose</vt:lpstr>
      <vt:lpstr>feces post ttmt - PA</vt:lpstr>
      <vt:lpstr>organs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2022-03-03T21:45:36Z</dcterms:created>
  <dcterms:modified xsi:type="dcterms:W3CDTF">2022-05-10T18:52:43Z</dcterms:modified>
</cp:coreProperties>
</file>