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D1994479-A45F-444F-AA6A-F86D20C45A00}" xr6:coauthVersionLast="47" xr6:coauthVersionMax="47" xr10:uidLastSave="{00000000-0000-0000-0000-000000000000}"/>
  <bookViews>
    <workbookView xWindow="31280" yWindow="960" windowWidth="28800" windowHeight="17500" activeTab="1" xr2:uid="{A02BBCDD-A619-1E4A-8198-3C615694A07D}"/>
  </bookViews>
  <sheets>
    <sheet name="dose" sheetId="1" r:id="rId1"/>
    <sheet name="feces post ttmt - P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8" i="2" l="1"/>
  <c r="X58" i="2"/>
  <c r="V58" i="2"/>
  <c r="Y46" i="2"/>
  <c r="X46" i="2"/>
  <c r="V46" i="2"/>
  <c r="Y34" i="2"/>
  <c r="X34" i="2"/>
  <c r="V34" i="2"/>
  <c r="Y22" i="2"/>
  <c r="X22" i="2"/>
  <c r="V22" i="2"/>
  <c r="Y10" i="2"/>
  <c r="X10" i="2"/>
  <c r="V10" i="2"/>
  <c r="P58" i="2"/>
  <c r="O58" i="2"/>
  <c r="M58" i="2"/>
  <c r="P46" i="2"/>
  <c r="O46" i="2"/>
  <c r="M46" i="2"/>
  <c r="P34" i="2"/>
  <c r="O34" i="2"/>
  <c r="M34" i="2"/>
  <c r="P22" i="2"/>
  <c r="O22" i="2"/>
  <c r="M22" i="2"/>
  <c r="P10" i="2"/>
  <c r="O10" i="2"/>
  <c r="M10" i="2"/>
  <c r="G58" i="2"/>
  <c r="F58" i="2"/>
  <c r="D58" i="2"/>
  <c r="G46" i="2"/>
  <c r="F46" i="2"/>
  <c r="D46" i="2"/>
  <c r="G34" i="2"/>
  <c r="F34" i="2"/>
  <c r="D34" i="2"/>
  <c r="G22" i="2"/>
  <c r="F22" i="2"/>
  <c r="D22" i="2"/>
  <c r="G10" i="2"/>
  <c r="F10" i="2"/>
  <c r="D10" i="2"/>
  <c r="X57" i="2"/>
  <c r="X56" i="2"/>
  <c r="X55" i="2"/>
  <c r="V57" i="2"/>
  <c r="Y57" i="2" s="1"/>
  <c r="X45" i="2"/>
  <c r="X44" i="2"/>
  <c r="X43" i="2"/>
  <c r="V45" i="2"/>
  <c r="Y45" i="2" s="1"/>
  <c r="X33" i="2"/>
  <c r="X32" i="2"/>
  <c r="X31" i="2"/>
  <c r="V33" i="2"/>
  <c r="Y33" i="2" s="1"/>
  <c r="X21" i="2"/>
  <c r="X20" i="2"/>
  <c r="X19" i="2"/>
  <c r="V21" i="2"/>
  <c r="Y21" i="2" s="1"/>
  <c r="X9" i="2"/>
  <c r="X8" i="2"/>
  <c r="X7" i="2"/>
  <c r="V9" i="2"/>
  <c r="Y9" i="2" s="1"/>
  <c r="O57" i="2"/>
  <c r="O56" i="2"/>
  <c r="O55" i="2"/>
  <c r="M57" i="2"/>
  <c r="P57" i="2"/>
  <c r="O45" i="2"/>
  <c r="O44" i="2"/>
  <c r="O43" i="2"/>
  <c r="M45" i="2"/>
  <c r="P45" i="2" s="1"/>
  <c r="O33" i="2"/>
  <c r="O32" i="2"/>
  <c r="O31" i="2"/>
  <c r="M33" i="2"/>
  <c r="P33" i="2" s="1"/>
  <c r="O21" i="2"/>
  <c r="O20" i="2"/>
  <c r="O19" i="2"/>
  <c r="M21" i="2"/>
  <c r="P21" i="2" s="1"/>
  <c r="O9" i="2"/>
  <c r="O8" i="2"/>
  <c r="O7" i="2"/>
  <c r="M9" i="2"/>
  <c r="P9" i="2" s="1"/>
  <c r="F57" i="2"/>
  <c r="F56" i="2"/>
  <c r="F55" i="2"/>
  <c r="D57" i="2"/>
  <c r="G57" i="2"/>
  <c r="F45" i="2"/>
  <c r="F44" i="2"/>
  <c r="F43" i="2"/>
  <c r="D45" i="2"/>
  <c r="G45" i="2"/>
  <c r="F33" i="2"/>
  <c r="F32" i="2"/>
  <c r="F31" i="2"/>
  <c r="D33" i="2"/>
  <c r="G33" i="2" s="1"/>
  <c r="F21" i="2"/>
  <c r="F20" i="2"/>
  <c r="F19" i="2"/>
  <c r="D21" i="2"/>
  <c r="G21" i="2"/>
  <c r="D9" i="2"/>
  <c r="G9" i="2" s="1"/>
  <c r="F9" i="2"/>
  <c r="F8" i="2"/>
  <c r="F7" i="2"/>
  <c r="X54" i="2"/>
  <c r="X42" i="2"/>
  <c r="X30" i="2"/>
  <c r="X18" i="2"/>
  <c r="X6" i="2"/>
  <c r="X53" i="2"/>
  <c r="X52" i="2"/>
  <c r="X41" i="2"/>
  <c r="X40" i="2"/>
  <c r="X29" i="2"/>
  <c r="X28" i="2"/>
  <c r="X17" i="2"/>
  <c r="X16" i="2"/>
  <c r="X5" i="2"/>
  <c r="X4" i="2"/>
  <c r="O53" i="2"/>
  <c r="O52" i="2"/>
  <c r="O41" i="2"/>
  <c r="O40" i="2"/>
  <c r="O29" i="2"/>
  <c r="O28" i="2"/>
  <c r="O17" i="2"/>
  <c r="O16" i="2"/>
  <c r="O5" i="2"/>
  <c r="O4" i="2"/>
  <c r="O54" i="2"/>
  <c r="O42" i="2"/>
  <c r="O30" i="2"/>
  <c r="O18" i="2"/>
  <c r="O6" i="2"/>
  <c r="F54" i="2"/>
  <c r="F42" i="2"/>
  <c r="F30" i="2"/>
  <c r="F18" i="2"/>
  <c r="F6" i="2"/>
  <c r="F53" i="2"/>
  <c r="F52" i="2"/>
  <c r="F41" i="2"/>
  <c r="F40" i="2"/>
  <c r="F29" i="2"/>
  <c r="F28" i="2"/>
  <c r="F17" i="2"/>
  <c r="F16" i="2"/>
  <c r="D18" i="2"/>
  <c r="D19" i="2"/>
  <c r="G19" i="2" s="1"/>
  <c r="D20" i="2"/>
  <c r="G20" i="2" s="1"/>
  <c r="F5" i="2"/>
  <c r="F4" i="2"/>
  <c r="V54" i="2"/>
  <c r="V55" i="2"/>
  <c r="Y55" i="2" s="1"/>
  <c r="V56" i="2"/>
  <c r="Y56" i="2" s="1"/>
  <c r="V44" i="2"/>
  <c r="Y44" i="2" s="1"/>
  <c r="V42" i="2"/>
  <c r="V43" i="2"/>
  <c r="Y43" i="2" s="1"/>
  <c r="V30" i="2"/>
  <c r="Y30" i="2" s="1"/>
  <c r="V31" i="2"/>
  <c r="Y31" i="2" s="1"/>
  <c r="V32" i="2"/>
  <c r="Y32" i="2" s="1"/>
  <c r="V18" i="2"/>
  <c r="V19" i="2"/>
  <c r="Y19" i="2" s="1"/>
  <c r="V20" i="2"/>
  <c r="Y20" i="2" s="1"/>
  <c r="V6" i="2"/>
  <c r="V7" i="2"/>
  <c r="Y7" i="2" s="1"/>
  <c r="V8" i="2"/>
  <c r="Y8" i="2" s="1"/>
  <c r="M54" i="2"/>
  <c r="M55" i="2"/>
  <c r="M56" i="2"/>
  <c r="P56" i="2" s="1"/>
  <c r="M42" i="2"/>
  <c r="M43" i="2"/>
  <c r="P43" i="2" s="1"/>
  <c r="M44" i="2"/>
  <c r="P44" i="2" s="1"/>
  <c r="M30" i="2"/>
  <c r="M31" i="2"/>
  <c r="P31" i="2" s="1"/>
  <c r="M32" i="2"/>
  <c r="P32" i="2" s="1"/>
  <c r="M18" i="2"/>
  <c r="M19" i="2"/>
  <c r="P19" i="2" s="1"/>
  <c r="M20" i="2"/>
  <c r="P20" i="2" s="1"/>
  <c r="M6" i="2"/>
  <c r="M7" i="2"/>
  <c r="P7" i="2" s="1"/>
  <c r="M8" i="2"/>
  <c r="P8" i="2" s="1"/>
  <c r="D54" i="2"/>
  <c r="D55" i="2"/>
  <c r="G55" i="2" s="1"/>
  <c r="D56" i="2"/>
  <c r="G56" i="2" s="1"/>
  <c r="D42" i="2"/>
  <c r="D43" i="2"/>
  <c r="G43" i="2" s="1"/>
  <c r="D44" i="2"/>
  <c r="G44" i="2" s="1"/>
  <c r="D30" i="2"/>
  <c r="G30" i="2" s="1"/>
  <c r="D31" i="2"/>
  <c r="G31" i="2" s="1"/>
  <c r="D32" i="2"/>
  <c r="G32" i="2" s="1"/>
  <c r="D6" i="2"/>
  <c r="G6" i="2" s="1"/>
  <c r="D7" i="2"/>
  <c r="G7" i="2" s="1"/>
  <c r="D8" i="2"/>
  <c r="G8" i="2" s="1"/>
  <c r="X51" i="2"/>
  <c r="X50" i="2"/>
  <c r="X39" i="2"/>
  <c r="X38" i="2"/>
  <c r="X27" i="2"/>
  <c r="X26" i="2"/>
  <c r="X15" i="2"/>
  <c r="X14" i="2"/>
  <c r="X3" i="2"/>
  <c r="X2" i="2"/>
  <c r="O51" i="2"/>
  <c r="O50" i="2"/>
  <c r="O39" i="2"/>
  <c r="O38" i="2"/>
  <c r="O27" i="2"/>
  <c r="O26" i="2"/>
  <c r="O15" i="2"/>
  <c r="O14" i="2"/>
  <c r="O3" i="2"/>
  <c r="O2" i="2"/>
  <c r="F51" i="2"/>
  <c r="F50" i="2"/>
  <c r="F39" i="2"/>
  <c r="F38" i="2"/>
  <c r="F27" i="2"/>
  <c r="F26" i="2"/>
  <c r="F15" i="2"/>
  <c r="F14" i="2"/>
  <c r="F3" i="2"/>
  <c r="F2" i="2"/>
  <c r="P55" i="2" l="1"/>
  <c r="G42" i="2"/>
  <c r="P30" i="2"/>
  <c r="Y18" i="2"/>
  <c r="P54" i="2"/>
  <c r="Y6" i="2"/>
  <c r="P6" i="2"/>
  <c r="Y42" i="2"/>
  <c r="Y54" i="2"/>
  <c r="G18" i="2"/>
  <c r="P42" i="2"/>
  <c r="P18" i="2"/>
  <c r="G54" i="2"/>
  <c r="V29" i="2"/>
  <c r="Y29" i="2" s="1"/>
  <c r="V51" i="2"/>
  <c r="V52" i="2"/>
  <c r="V53" i="2"/>
  <c r="V50" i="2"/>
  <c r="V39" i="2"/>
  <c r="V40" i="2"/>
  <c r="V41" i="2"/>
  <c r="Y41" i="2" s="1"/>
  <c r="V38" i="2"/>
  <c r="V27" i="2"/>
  <c r="V28" i="2"/>
  <c r="V26" i="2"/>
  <c r="V15" i="2"/>
  <c r="V16" i="2"/>
  <c r="V17" i="2"/>
  <c r="V14" i="2"/>
  <c r="Y14" i="2" s="1"/>
  <c r="V3" i="2"/>
  <c r="V4" i="2"/>
  <c r="V5" i="2"/>
  <c r="AD2" i="2" s="1"/>
  <c r="V2" i="2"/>
  <c r="Y2" i="2" s="1"/>
  <c r="M51" i="2"/>
  <c r="M52" i="2"/>
  <c r="M53" i="2"/>
  <c r="M50" i="2"/>
  <c r="M39" i="2"/>
  <c r="M40" i="2"/>
  <c r="M41" i="2"/>
  <c r="M38" i="2"/>
  <c r="M27" i="2"/>
  <c r="M28" i="2"/>
  <c r="M29" i="2"/>
  <c r="P29" i="2" s="1"/>
  <c r="M26" i="2"/>
  <c r="P26" i="2" s="1"/>
  <c r="D51" i="2"/>
  <c r="D52" i="2"/>
  <c r="D53" i="2"/>
  <c r="D50" i="2"/>
  <c r="D39" i="2"/>
  <c r="D40" i="2"/>
  <c r="G40" i="2" s="1"/>
  <c r="D41" i="2"/>
  <c r="D38" i="2"/>
  <c r="D27" i="2"/>
  <c r="D28" i="2"/>
  <c r="D29" i="2"/>
  <c r="D26" i="2"/>
  <c r="M17" i="2"/>
  <c r="M16" i="2"/>
  <c r="M15" i="2"/>
  <c r="M14" i="2"/>
  <c r="M5" i="2"/>
  <c r="M4" i="2"/>
  <c r="M3" i="2"/>
  <c r="M2" i="2"/>
  <c r="D17" i="2"/>
  <c r="D16" i="2"/>
  <c r="D15" i="2"/>
  <c r="D14" i="2"/>
  <c r="D5" i="2"/>
  <c r="D4" i="2"/>
  <c r="D3" i="2"/>
  <c r="D2" i="2"/>
  <c r="D3" i="1"/>
  <c r="D2" i="1"/>
  <c r="E2" i="1" l="1"/>
  <c r="F2" i="1" s="1"/>
  <c r="Y39" i="2"/>
  <c r="Y17" i="2"/>
  <c r="P3" i="2"/>
  <c r="P50" i="2"/>
  <c r="G41" i="2"/>
  <c r="P51" i="2"/>
  <c r="P4" i="2"/>
  <c r="Y27" i="2"/>
  <c r="Y28" i="2"/>
  <c r="Y40" i="2"/>
  <c r="P5" i="2"/>
  <c r="Y52" i="2"/>
  <c r="G39" i="2"/>
  <c r="G5" i="2"/>
  <c r="G27" i="2"/>
  <c r="P2" i="2"/>
  <c r="G29" i="2"/>
  <c r="G50" i="2"/>
  <c r="G52" i="2"/>
  <c r="G17" i="2"/>
  <c r="G38" i="2"/>
  <c r="P15" i="2"/>
  <c r="G28" i="2"/>
  <c r="P28" i="2"/>
  <c r="P40" i="2"/>
  <c r="P41" i="2"/>
  <c r="Y3" i="2"/>
  <c r="G15" i="2"/>
  <c r="P17" i="2"/>
  <c r="G51" i="2"/>
  <c r="P38" i="2"/>
  <c r="P39" i="2"/>
  <c r="P52" i="2"/>
  <c r="Y15" i="2"/>
  <c r="P27" i="2"/>
  <c r="P53" i="2"/>
  <c r="G3" i="2"/>
  <c r="G14" i="2"/>
  <c r="G53" i="2"/>
  <c r="Y4" i="2"/>
  <c r="Y5" i="2"/>
  <c r="Y26" i="2"/>
  <c r="G4" i="2"/>
  <c r="P16" i="2"/>
  <c r="G26" i="2"/>
  <c r="Y50" i="2"/>
  <c r="Y51" i="2"/>
  <c r="P14" i="2"/>
  <c r="Y16" i="2"/>
  <c r="Y53" i="2"/>
  <c r="Y38" i="2"/>
  <c r="G16" i="2"/>
  <c r="G2" i="2"/>
</calcChain>
</file>

<file path=xl/sharedStrings.xml><?xml version="1.0" encoding="utf-8"?>
<sst xmlns="http://schemas.openxmlformats.org/spreadsheetml/2006/main" count="233" uniqueCount="37">
  <si>
    <t>Colony Count</t>
  </si>
  <si>
    <t>Dilution Factor</t>
  </si>
  <si>
    <t>CFUs/50uL</t>
  </si>
  <si>
    <t>Average CFUs</t>
  </si>
  <si>
    <t>Log CFUs</t>
  </si>
  <si>
    <t>OD reached</t>
  </si>
  <si>
    <t>BL048 10^6 LB (LB irg5 plates)</t>
  </si>
  <si>
    <t>number of CFU (not diluted)</t>
  </si>
  <si>
    <t>mean in 10 µL</t>
  </si>
  <si>
    <t>Dilution factor</t>
  </si>
  <si>
    <t>feces weights (mg)</t>
  </si>
  <si>
    <t>Log10 CFU/g of feces</t>
  </si>
  <si>
    <t>day 3</t>
  </si>
  <si>
    <t>day 5</t>
  </si>
  <si>
    <t>day 1</t>
  </si>
  <si>
    <t>day 2</t>
  </si>
  <si>
    <t>Limit of detection</t>
  </si>
  <si>
    <t>day 4</t>
  </si>
  <si>
    <t>day 6</t>
  </si>
  <si>
    <t>day 7</t>
  </si>
  <si>
    <t>day 10</t>
  </si>
  <si>
    <t>day 14</t>
  </si>
  <si>
    <t>BL048 10^5.6 Vanco 5+2 mouse 1</t>
  </si>
  <si>
    <t>BL048 10^5.6 Vanco 5+0 mouse 1</t>
  </si>
  <si>
    <t>BL048 10^5.6 Vanco 3+2 mouse 1</t>
  </si>
  <si>
    <t>BL048 10^5.6 Vanco 5+2 mouse 2</t>
  </si>
  <si>
    <t>BL048 10^5.6 Vanco 5+0 mouse 2</t>
  </si>
  <si>
    <t>BL048 10^5.6 Vanco 3+2 mouse 2</t>
  </si>
  <si>
    <t>BL048 10^5.6 Vanco 5+2 mouse 3</t>
  </si>
  <si>
    <t>BL048 10^5.6 Vanco 5+0 mouse 3</t>
  </si>
  <si>
    <t>BL048 10^5.6 Vanco 3+2 mouse 3</t>
  </si>
  <si>
    <t>BL048 10^5.6 Vanco 5+2 mouse 4</t>
  </si>
  <si>
    <t>BL048 10^5.6 Vanco 5+0 mouse 4</t>
  </si>
  <si>
    <t>BL048 10^5.6 Vanco 3+2 mouse 4</t>
  </si>
  <si>
    <t>BL048 10^5.6 Vanco 5+2 mouse 5</t>
  </si>
  <si>
    <t>BL048 10^5.6 Vanco 5+0 mouse 5</t>
  </si>
  <si>
    <t>BL048 10^5.6 Vanco 3+2 mouse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</si>
</sst>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165" fontId="4" fillId="0" borderId="0" xfId="0" applyNumberFormat="1" applyFont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C73FA-5EDE-5943-8B04-88429EFA7FCC}">
  <dimension ref="A1:H3"/>
  <sheetViews>
    <sheetView workbookViewId="0">
      <selection activeCell="H4" sqref="H4"/>
    </sheetView>
  </sheetViews>
  <sheetFormatPr baseColWidth="10" defaultRowHeight="16" x14ac:dyDescent="0.2"/>
  <cols>
    <col min="2" max="2" width="15.83203125" customWidth="1"/>
    <col min="3" max="3" width="17.1640625" customWidth="1"/>
    <col min="4" max="4" width="15.5" customWidth="1"/>
    <col min="5" max="5" width="17.6640625" customWidth="1"/>
    <col min="6" max="6" width="13.1640625" customWidth="1"/>
    <col min="8" max="8" width="13.1640625" customWidth="1"/>
  </cols>
  <sheetData>
    <row r="1" spans="1:8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H1" s="2" t="s">
        <v>5</v>
      </c>
    </row>
    <row r="2" spans="1:8" x14ac:dyDescent="0.2">
      <c r="A2" s="18" t="s">
        <v>6</v>
      </c>
      <c r="B2" s="3">
        <v>7</v>
      </c>
      <c r="C2" s="4">
        <v>10000</v>
      </c>
      <c r="D2" s="4">
        <f t="shared" ref="D2:D3" si="0">B2*5*C2</f>
        <v>350000</v>
      </c>
      <c r="E2" s="20">
        <f>AVERAGE(D2:D3)</f>
        <v>400000</v>
      </c>
      <c r="F2" s="22">
        <f>LOG10(E2)</f>
        <v>5.6020599913279625</v>
      </c>
      <c r="H2" s="24">
        <v>0.309</v>
      </c>
    </row>
    <row r="3" spans="1:8" x14ac:dyDescent="0.2">
      <c r="A3" s="19"/>
      <c r="B3" s="5">
        <v>9</v>
      </c>
      <c r="C3" s="6">
        <v>10000</v>
      </c>
      <c r="D3" s="6">
        <f t="shared" si="0"/>
        <v>450000</v>
      </c>
      <c r="E3" s="21"/>
      <c r="F3" s="23"/>
      <c r="H3" s="24"/>
    </row>
  </sheetData>
  <mergeCells count="4">
    <mergeCell ref="A2:A3"/>
    <mergeCell ref="E2:E3"/>
    <mergeCell ref="F2:F3"/>
    <mergeCell ref="H2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951B-B55F-1446-A8EF-03DCF9C7B5E4}">
  <dimension ref="A1:AD58"/>
  <sheetViews>
    <sheetView tabSelected="1" topLeftCell="O37" workbookViewId="0">
      <selection activeCell="Y57" sqref="Y57:Y58"/>
    </sheetView>
  </sheetViews>
  <sheetFormatPr baseColWidth="10" defaultRowHeight="16" x14ac:dyDescent="0.2"/>
  <cols>
    <col min="1" max="1" width="13.6640625" customWidth="1"/>
    <col min="5" max="5" width="10.83203125" style="10"/>
    <col min="6" max="6" width="12.5" style="10" customWidth="1"/>
    <col min="7" max="7" width="13.1640625" customWidth="1"/>
    <col min="10" max="10" width="14.83203125" customWidth="1"/>
    <col min="14" max="15" width="10.83203125" style="10"/>
    <col min="19" max="19" width="13.1640625" customWidth="1"/>
    <col min="23" max="24" width="10.83203125" style="10"/>
    <col min="25" max="25" width="10.83203125" style="11"/>
    <col min="30" max="30" width="14.1640625" customWidth="1"/>
  </cols>
  <sheetData>
    <row r="1" spans="1:30" ht="46" customHeight="1" x14ac:dyDescent="0.2">
      <c r="A1" s="7" t="s">
        <v>22</v>
      </c>
      <c r="B1" s="26" t="s">
        <v>7</v>
      </c>
      <c r="C1" s="26"/>
      <c r="D1" s="8" t="s">
        <v>8</v>
      </c>
      <c r="E1" s="8" t="s">
        <v>9</v>
      </c>
      <c r="F1" s="8" t="s">
        <v>10</v>
      </c>
      <c r="G1" s="9" t="s">
        <v>11</v>
      </c>
      <c r="J1" s="7" t="s">
        <v>23</v>
      </c>
      <c r="K1" s="26" t="s">
        <v>7</v>
      </c>
      <c r="L1" s="26"/>
      <c r="M1" s="8" t="s">
        <v>8</v>
      </c>
      <c r="N1" s="8" t="s">
        <v>9</v>
      </c>
      <c r="O1" s="8" t="s">
        <v>10</v>
      </c>
      <c r="P1" s="9" t="s">
        <v>11</v>
      </c>
      <c r="S1" s="7" t="s">
        <v>24</v>
      </c>
      <c r="T1" s="25" t="s">
        <v>7</v>
      </c>
      <c r="U1" s="25"/>
      <c r="V1" s="13" t="s">
        <v>8</v>
      </c>
      <c r="W1" s="13" t="s">
        <v>9</v>
      </c>
      <c r="X1" s="13" t="s">
        <v>10</v>
      </c>
      <c r="Y1" s="14" t="s">
        <v>11</v>
      </c>
    </row>
    <row r="2" spans="1:30" x14ac:dyDescent="0.2">
      <c r="A2" s="10" t="s">
        <v>14</v>
      </c>
      <c r="B2">
        <v>13</v>
      </c>
      <c r="C2">
        <v>18</v>
      </c>
      <c r="D2">
        <f>AVERAGE(B2:C2)</f>
        <v>15.5</v>
      </c>
      <c r="E2" s="10">
        <v>10</v>
      </c>
      <c r="F2" s="10">
        <f>1723.5-1603.1</f>
        <v>120.40000000000009</v>
      </c>
      <c r="G2" s="11">
        <f>LOG10(D2*100*E2/F2*1000)</f>
        <v>5.1097052112484853</v>
      </c>
      <c r="J2" s="10" t="s">
        <v>14</v>
      </c>
      <c r="K2">
        <v>0</v>
      </c>
      <c r="L2">
        <v>0</v>
      </c>
      <c r="M2">
        <f>AVERAGE(K2:L2)</f>
        <v>0</v>
      </c>
      <c r="N2" s="10">
        <v>1</v>
      </c>
      <c r="O2" s="10">
        <f>1702.5-1676.2</f>
        <v>26.299999999999955</v>
      </c>
      <c r="P2" s="11" t="e">
        <f>LOG10(M2*100*N2/O2*1000)</f>
        <v>#NUM!</v>
      </c>
      <c r="S2" s="10" t="s">
        <v>14</v>
      </c>
      <c r="T2" s="16">
        <v>0</v>
      </c>
      <c r="U2" s="16">
        <v>0</v>
      </c>
      <c r="V2" s="16">
        <f>AVERAGE(T2:U2)</f>
        <v>0</v>
      </c>
      <c r="W2" s="15">
        <v>1</v>
      </c>
      <c r="X2" s="15">
        <f>1905.6-1835.6</f>
        <v>70</v>
      </c>
      <c r="Y2" s="17" t="e">
        <f>LOG10(V2*100*W2/X2*1000)</f>
        <v>#NUM!</v>
      </c>
      <c r="AB2" t="s">
        <v>16</v>
      </c>
      <c r="AD2">
        <f>LOG10(V5*100*W5/O54*1000)</f>
        <v>2.4245812087856402</v>
      </c>
    </row>
    <row r="3" spans="1:30" x14ac:dyDescent="0.2">
      <c r="A3" s="10" t="s">
        <v>15</v>
      </c>
      <c r="B3">
        <v>7</v>
      </c>
      <c r="C3">
        <v>3</v>
      </c>
      <c r="D3">
        <f t="shared" ref="D3:D10" si="0">AVERAGE(B3:C3)</f>
        <v>5</v>
      </c>
      <c r="E3" s="10">
        <v>100</v>
      </c>
      <c r="F3" s="10">
        <f>1716.9-1646.8</f>
        <v>70.100000000000136</v>
      </c>
      <c r="G3" s="11">
        <f>LOG10(D3*100*E3/F3*1000)</f>
        <v>5.8532519863693597</v>
      </c>
      <c r="J3" s="10" t="s">
        <v>15</v>
      </c>
      <c r="K3">
        <v>0</v>
      </c>
      <c r="L3">
        <v>0</v>
      </c>
      <c r="M3">
        <f t="shared" ref="M3:M10" si="1">AVERAGE(K3:L3)</f>
        <v>0</v>
      </c>
      <c r="N3" s="10">
        <v>1</v>
      </c>
      <c r="O3" s="10">
        <f>1824.5-1783.2</f>
        <v>41.299999999999955</v>
      </c>
      <c r="P3" s="11" t="e">
        <f>LOG10(M3*100*N3/O3*1000)</f>
        <v>#NUM!</v>
      </c>
      <c r="S3" s="10" t="s">
        <v>15</v>
      </c>
      <c r="T3" s="16">
        <v>0</v>
      </c>
      <c r="U3" s="16">
        <v>0</v>
      </c>
      <c r="V3" s="16">
        <f t="shared" ref="V3:V10" si="2">AVERAGE(T3:U3)</f>
        <v>0</v>
      </c>
      <c r="W3" s="15">
        <v>1</v>
      </c>
      <c r="X3" s="15">
        <f>1704.4-1647.2</f>
        <v>57.200000000000045</v>
      </c>
      <c r="Y3" s="17" t="e">
        <f t="shared" ref="Y3:Y10" si="3">LOG10(V3*100*W3/X3*1000)</f>
        <v>#NUM!</v>
      </c>
    </row>
    <row r="4" spans="1:30" x14ac:dyDescent="0.2">
      <c r="A4" s="10" t="s">
        <v>12</v>
      </c>
      <c r="B4">
        <v>31</v>
      </c>
      <c r="C4">
        <v>32</v>
      </c>
      <c r="D4">
        <f t="shared" si="0"/>
        <v>31.5</v>
      </c>
      <c r="E4" s="10">
        <v>100</v>
      </c>
      <c r="F4" s="10">
        <f>1672.6-1644.1</f>
        <v>28.5</v>
      </c>
      <c r="G4" s="11">
        <f t="shared" ref="G4:G10" si="4">LOG10(D4*100*E4/F4*1000)</f>
        <v>7.0434656937810907</v>
      </c>
      <c r="J4" s="10" t="s">
        <v>12</v>
      </c>
      <c r="K4">
        <v>0</v>
      </c>
      <c r="L4">
        <v>0</v>
      </c>
      <c r="M4">
        <f t="shared" si="1"/>
        <v>0</v>
      </c>
      <c r="N4" s="10">
        <v>1</v>
      </c>
      <c r="O4" s="10">
        <f>1697.3-1685.8</f>
        <v>11.5</v>
      </c>
      <c r="P4" s="11" t="e">
        <f t="shared" ref="P4:P10" si="5">LOG10(M4*100*N4/O4*1000)</f>
        <v>#NUM!</v>
      </c>
      <c r="S4" s="10" t="s">
        <v>12</v>
      </c>
      <c r="T4" s="16">
        <v>0</v>
      </c>
      <c r="U4" s="16">
        <v>0</v>
      </c>
      <c r="V4" s="16">
        <f t="shared" si="2"/>
        <v>0</v>
      </c>
      <c r="W4" s="15">
        <v>1</v>
      </c>
      <c r="X4" s="15">
        <f>1665.7-1644.8</f>
        <v>20.900000000000091</v>
      </c>
      <c r="Y4" s="17" t="e">
        <f t="shared" si="3"/>
        <v>#NUM!</v>
      </c>
    </row>
    <row r="5" spans="1:30" x14ac:dyDescent="0.2">
      <c r="A5" s="10" t="s">
        <v>17</v>
      </c>
      <c r="B5">
        <v>32</v>
      </c>
      <c r="C5">
        <v>34</v>
      </c>
      <c r="D5">
        <f t="shared" si="0"/>
        <v>33</v>
      </c>
      <c r="E5" s="10">
        <v>1000</v>
      </c>
      <c r="F5" s="10">
        <f>1774.2-1752.3</f>
        <v>21.900000000000091</v>
      </c>
      <c r="G5" s="11">
        <f t="shared" si="4"/>
        <v>8.1780698250377668</v>
      </c>
      <c r="J5" s="10" t="s">
        <v>17</v>
      </c>
      <c r="K5">
        <v>0</v>
      </c>
      <c r="L5">
        <v>0</v>
      </c>
      <c r="M5">
        <f t="shared" si="1"/>
        <v>0</v>
      </c>
      <c r="N5" s="10">
        <v>1</v>
      </c>
      <c r="O5" s="10">
        <f>1709.8-1653.7</f>
        <v>56.099999999999909</v>
      </c>
      <c r="P5" s="11" t="e">
        <f t="shared" si="5"/>
        <v>#NUM!</v>
      </c>
      <c r="S5" s="10" t="s">
        <v>17</v>
      </c>
      <c r="T5" s="16">
        <v>1</v>
      </c>
      <c r="U5" s="16">
        <v>0</v>
      </c>
      <c r="V5" s="16">
        <f t="shared" si="2"/>
        <v>0.5</v>
      </c>
      <c r="W5" s="15">
        <v>1</v>
      </c>
      <c r="X5" s="15">
        <f>1757.5-1713.1</f>
        <v>44.400000000000091</v>
      </c>
      <c r="Y5" s="17">
        <f t="shared" si="3"/>
        <v>3.0515870342213982</v>
      </c>
    </row>
    <row r="6" spans="1:30" x14ac:dyDescent="0.2">
      <c r="A6" s="10" t="s">
        <v>13</v>
      </c>
      <c r="B6">
        <v>4</v>
      </c>
      <c r="C6">
        <v>5</v>
      </c>
      <c r="D6">
        <f t="shared" si="0"/>
        <v>4.5</v>
      </c>
      <c r="E6" s="10">
        <v>10000</v>
      </c>
      <c r="F6" s="10">
        <f>1752.8-1707.2</f>
        <v>45.599999999999909</v>
      </c>
      <c r="G6" s="11">
        <f t="shared" si="4"/>
        <v>7.9942476711109096</v>
      </c>
      <c r="J6" s="10" t="s">
        <v>13</v>
      </c>
      <c r="K6">
        <v>0</v>
      </c>
      <c r="L6">
        <v>0</v>
      </c>
      <c r="M6">
        <f t="shared" si="1"/>
        <v>0</v>
      </c>
      <c r="N6" s="10">
        <v>1</v>
      </c>
      <c r="O6" s="10">
        <f>1812.2-1711.2</f>
        <v>101</v>
      </c>
      <c r="P6" s="11" t="e">
        <f t="shared" si="5"/>
        <v>#NUM!</v>
      </c>
      <c r="S6" s="10" t="s">
        <v>13</v>
      </c>
      <c r="T6" s="16">
        <v>2</v>
      </c>
      <c r="U6" s="16">
        <v>2</v>
      </c>
      <c r="V6" s="16">
        <f t="shared" si="2"/>
        <v>2</v>
      </c>
      <c r="W6" s="15">
        <v>1</v>
      </c>
      <c r="X6" s="15">
        <f>1888.3-1830.8</f>
        <v>57.5</v>
      </c>
      <c r="Y6" s="17">
        <f t="shared" si="3"/>
        <v>3.5413621509743507</v>
      </c>
    </row>
    <row r="7" spans="1:30" x14ac:dyDescent="0.2">
      <c r="A7" s="10" t="s">
        <v>18</v>
      </c>
      <c r="B7">
        <v>21</v>
      </c>
      <c r="C7">
        <v>22</v>
      </c>
      <c r="D7">
        <f t="shared" si="0"/>
        <v>21.5</v>
      </c>
      <c r="E7" s="10">
        <v>100</v>
      </c>
      <c r="F7" s="10">
        <f>1751.4-1722.1</f>
        <v>29.300000000000182</v>
      </c>
      <c r="G7" s="11">
        <f t="shared" si="4"/>
        <v>6.8655708395614932</v>
      </c>
      <c r="J7" s="10" t="s">
        <v>18</v>
      </c>
      <c r="K7">
        <v>0</v>
      </c>
      <c r="L7">
        <v>0</v>
      </c>
      <c r="M7">
        <f t="shared" si="1"/>
        <v>0</v>
      </c>
      <c r="N7" s="10">
        <v>1</v>
      </c>
      <c r="O7" s="10">
        <f>1758.1-1668.7</f>
        <v>89.399999999999864</v>
      </c>
      <c r="P7" s="11" t="e">
        <f t="shared" si="5"/>
        <v>#NUM!</v>
      </c>
      <c r="S7" s="10" t="s">
        <v>18</v>
      </c>
      <c r="T7" s="16">
        <v>2</v>
      </c>
      <c r="U7" s="16">
        <v>5</v>
      </c>
      <c r="V7" s="16">
        <f t="shared" si="2"/>
        <v>3.5</v>
      </c>
      <c r="W7" s="15">
        <v>1</v>
      </c>
      <c r="X7" s="15">
        <f>1784.8-1712.3</f>
        <v>72.5</v>
      </c>
      <c r="Y7" s="17">
        <f t="shared" si="3"/>
        <v>3.6837300377792821</v>
      </c>
    </row>
    <row r="8" spans="1:30" x14ac:dyDescent="0.2">
      <c r="A8" s="10" t="s">
        <v>19</v>
      </c>
      <c r="B8">
        <v>10</v>
      </c>
      <c r="C8">
        <v>9</v>
      </c>
      <c r="D8">
        <f t="shared" si="0"/>
        <v>9.5</v>
      </c>
      <c r="E8" s="10">
        <v>100</v>
      </c>
      <c r="F8" s="10">
        <f>1802.7-1737.7</f>
        <v>65</v>
      </c>
      <c r="G8" s="11">
        <f t="shared" si="4"/>
        <v>6.1648102486459919</v>
      </c>
      <c r="J8" s="10" t="s">
        <v>19</v>
      </c>
      <c r="K8">
        <v>0</v>
      </c>
      <c r="L8">
        <v>0</v>
      </c>
      <c r="M8">
        <f t="shared" si="1"/>
        <v>0</v>
      </c>
      <c r="N8" s="10">
        <v>1</v>
      </c>
      <c r="O8" s="10">
        <f>1828.5-1753.6</f>
        <v>74.900000000000091</v>
      </c>
      <c r="P8" s="11" t="e">
        <f t="shared" si="5"/>
        <v>#NUM!</v>
      </c>
      <c r="S8" s="10" t="s">
        <v>19</v>
      </c>
      <c r="T8" s="16">
        <v>6</v>
      </c>
      <c r="U8" s="16">
        <v>6</v>
      </c>
      <c r="V8" s="16">
        <f t="shared" si="2"/>
        <v>6</v>
      </c>
      <c r="W8" s="15">
        <v>1</v>
      </c>
      <c r="X8" s="15">
        <f>1797.7-1749.1</f>
        <v>48.600000000000136</v>
      </c>
      <c r="Y8" s="17">
        <f t="shared" si="3"/>
        <v>4.0915149811213487</v>
      </c>
    </row>
    <row r="9" spans="1:30" x14ac:dyDescent="0.2">
      <c r="A9" s="10" t="s">
        <v>20</v>
      </c>
      <c r="B9">
        <v>12</v>
      </c>
      <c r="C9">
        <v>6</v>
      </c>
      <c r="D9">
        <f t="shared" si="0"/>
        <v>9</v>
      </c>
      <c r="E9" s="10">
        <v>10</v>
      </c>
      <c r="F9" s="10">
        <f>1771.4-1717.2</f>
        <v>54.200000000000045</v>
      </c>
      <c r="G9" s="11">
        <f t="shared" si="4"/>
        <v>5.2202432229009377</v>
      </c>
      <c r="J9" s="10" t="s">
        <v>20</v>
      </c>
      <c r="K9">
        <v>0</v>
      </c>
      <c r="L9">
        <v>0</v>
      </c>
      <c r="M9">
        <f t="shared" si="1"/>
        <v>0</v>
      </c>
      <c r="N9" s="10">
        <v>1</v>
      </c>
      <c r="O9" s="10">
        <f>1840.3-1732.5</f>
        <v>107.79999999999995</v>
      </c>
      <c r="P9" s="11" t="e">
        <f t="shared" si="5"/>
        <v>#NUM!</v>
      </c>
      <c r="S9" s="10" t="s">
        <v>20</v>
      </c>
      <c r="T9" s="16">
        <v>37</v>
      </c>
      <c r="U9" s="16">
        <v>21</v>
      </c>
      <c r="V9" s="16">
        <f t="shared" si="2"/>
        <v>29</v>
      </c>
      <c r="W9" s="15">
        <v>1</v>
      </c>
      <c r="X9" s="15">
        <f>1738.9-1671.9</f>
        <v>67</v>
      </c>
      <c r="Y9" s="17">
        <f t="shared" si="3"/>
        <v>4.6363231951981296</v>
      </c>
    </row>
    <row r="10" spans="1:30" x14ac:dyDescent="0.2">
      <c r="A10" s="10" t="s">
        <v>21</v>
      </c>
      <c r="B10">
        <v>0</v>
      </c>
      <c r="C10">
        <v>0</v>
      </c>
      <c r="D10">
        <f t="shared" si="0"/>
        <v>0</v>
      </c>
      <c r="E10" s="10">
        <v>1</v>
      </c>
      <c r="F10" s="10">
        <f>1812.7-1713.1</f>
        <v>99.600000000000136</v>
      </c>
      <c r="G10" s="11" t="e">
        <f t="shared" si="4"/>
        <v>#NUM!</v>
      </c>
      <c r="J10" s="10" t="s">
        <v>21</v>
      </c>
      <c r="K10">
        <v>0</v>
      </c>
      <c r="L10">
        <v>0</v>
      </c>
      <c r="M10">
        <f t="shared" si="1"/>
        <v>0</v>
      </c>
      <c r="N10" s="10">
        <v>1</v>
      </c>
      <c r="O10" s="10">
        <f>1778.6-1621.4</f>
        <v>157.19999999999982</v>
      </c>
      <c r="P10" s="11" t="e">
        <f t="shared" si="5"/>
        <v>#NUM!</v>
      </c>
      <c r="S10" s="10" t="s">
        <v>21</v>
      </c>
      <c r="T10" s="16">
        <v>2</v>
      </c>
      <c r="U10" s="16">
        <v>0</v>
      </c>
      <c r="V10" s="16">
        <f t="shared" si="2"/>
        <v>1</v>
      </c>
      <c r="W10" s="15">
        <v>1</v>
      </c>
      <c r="X10" s="15">
        <f>1756.3-1654.7</f>
        <v>101.59999999999991</v>
      </c>
      <c r="Y10" s="17">
        <f t="shared" si="3"/>
        <v>2.9931062920520999</v>
      </c>
    </row>
    <row r="11" spans="1:30" x14ac:dyDescent="0.2">
      <c r="A11" s="10"/>
      <c r="G11" s="11"/>
      <c r="J11" s="10"/>
      <c r="P11" s="11"/>
      <c r="S11" s="10"/>
      <c r="T11" s="16"/>
      <c r="U11" s="16"/>
      <c r="V11" s="16"/>
      <c r="W11" s="15"/>
      <c r="X11" s="15"/>
      <c r="Y11" s="17"/>
    </row>
    <row r="12" spans="1:30" x14ac:dyDescent="0.2">
      <c r="S12" s="16"/>
      <c r="T12" s="16"/>
      <c r="U12" s="16"/>
      <c r="V12" s="16"/>
      <c r="W12" s="15"/>
      <c r="X12" s="15"/>
      <c r="Y12" s="17"/>
    </row>
    <row r="13" spans="1:30" ht="51" x14ac:dyDescent="0.2">
      <c r="A13" s="7" t="s">
        <v>25</v>
      </c>
      <c r="B13" s="26" t="s">
        <v>7</v>
      </c>
      <c r="C13" s="26"/>
      <c r="D13" s="8" t="s">
        <v>8</v>
      </c>
      <c r="E13" s="8" t="s">
        <v>9</v>
      </c>
      <c r="F13" s="8" t="s">
        <v>10</v>
      </c>
      <c r="G13" s="9" t="s">
        <v>11</v>
      </c>
      <c r="J13" s="7" t="s">
        <v>26</v>
      </c>
      <c r="K13" s="26" t="s">
        <v>7</v>
      </c>
      <c r="L13" s="26"/>
      <c r="M13" s="8" t="s">
        <v>8</v>
      </c>
      <c r="N13" s="8" t="s">
        <v>9</v>
      </c>
      <c r="O13" s="8" t="s">
        <v>10</v>
      </c>
      <c r="P13" s="9" t="s">
        <v>11</v>
      </c>
      <c r="S13" s="7" t="s">
        <v>27</v>
      </c>
      <c r="T13" s="25" t="s">
        <v>7</v>
      </c>
      <c r="U13" s="25"/>
      <c r="V13" s="13" t="s">
        <v>8</v>
      </c>
      <c r="W13" s="13" t="s">
        <v>9</v>
      </c>
      <c r="X13" s="13" t="s">
        <v>10</v>
      </c>
      <c r="Y13" s="14" t="s">
        <v>11</v>
      </c>
    </row>
    <row r="14" spans="1:30" x14ac:dyDescent="0.2">
      <c r="A14" s="10" t="s">
        <v>14</v>
      </c>
      <c r="B14">
        <v>0</v>
      </c>
      <c r="C14">
        <v>0</v>
      </c>
      <c r="D14">
        <f>AVERAGE(B14:C14)</f>
        <v>0</v>
      </c>
      <c r="E14" s="10">
        <v>1</v>
      </c>
      <c r="F14" s="10">
        <f>1724.8-1647.7</f>
        <v>77.099999999999909</v>
      </c>
      <c r="G14" s="11" t="e">
        <f>LOG10(D14*100*E14/F14*1000)</f>
        <v>#NUM!</v>
      </c>
      <c r="J14" s="10" t="s">
        <v>14</v>
      </c>
      <c r="K14">
        <v>21</v>
      </c>
      <c r="L14">
        <v>15</v>
      </c>
      <c r="M14">
        <f>AVERAGE(K14:L14)</f>
        <v>18</v>
      </c>
      <c r="N14" s="10">
        <v>1</v>
      </c>
      <c r="O14" s="10">
        <f>1746.4-1702.7</f>
        <v>43.700000000000045</v>
      </c>
      <c r="P14" s="11">
        <f>LOG10(M14*100*N14/O14*1000)</f>
        <v>4.6147910681328836</v>
      </c>
      <c r="S14" s="10" t="s">
        <v>14</v>
      </c>
      <c r="T14" s="16">
        <v>1</v>
      </c>
      <c r="U14" s="16">
        <v>6</v>
      </c>
      <c r="V14" s="16">
        <f>AVERAGE(T14:U14)</f>
        <v>3.5</v>
      </c>
      <c r="W14" s="15">
        <v>10000</v>
      </c>
      <c r="X14" s="15">
        <f>1796-1767.6</f>
        <v>28.400000000000091</v>
      </c>
      <c r="Y14" s="17">
        <f>LOG10(V14*100*W14/X14*1000)</f>
        <v>8.0907497043032368</v>
      </c>
    </row>
    <row r="15" spans="1:30" x14ac:dyDescent="0.2">
      <c r="A15" s="10" t="s">
        <v>15</v>
      </c>
      <c r="B15">
        <v>0</v>
      </c>
      <c r="C15">
        <v>0</v>
      </c>
      <c r="D15">
        <f t="shared" ref="D15:D22" si="6">AVERAGE(B15:C15)</f>
        <v>0</v>
      </c>
      <c r="E15" s="10">
        <v>1</v>
      </c>
      <c r="F15" s="10">
        <f>1734.5-1694.9</f>
        <v>39.599999999999909</v>
      </c>
      <c r="G15" s="11" t="e">
        <f>LOG10(D15*100*E15/F15*1000)</f>
        <v>#NUM!</v>
      </c>
      <c r="J15" s="10" t="s">
        <v>15</v>
      </c>
      <c r="K15">
        <v>4</v>
      </c>
      <c r="L15">
        <v>3</v>
      </c>
      <c r="M15">
        <f t="shared" ref="M15:M22" si="7">AVERAGE(K15:L15)</f>
        <v>3.5</v>
      </c>
      <c r="N15" s="10">
        <v>100</v>
      </c>
      <c r="O15" s="10">
        <f>1797.4-1698.5</f>
        <v>98.900000000000091</v>
      </c>
      <c r="P15" s="11">
        <f>LOG10(M15*100*N15/O15*1000)</f>
        <v>5.5488717527530955</v>
      </c>
      <c r="S15" s="10" t="s">
        <v>15</v>
      </c>
      <c r="T15" s="16">
        <v>36</v>
      </c>
      <c r="U15" s="16">
        <v>39</v>
      </c>
      <c r="V15" s="16">
        <f t="shared" ref="V15:V22" si="8">AVERAGE(T15:U15)</f>
        <v>37.5</v>
      </c>
      <c r="W15" s="15">
        <v>1000</v>
      </c>
      <c r="X15" s="15">
        <f>1769.7-1695.7</f>
        <v>74</v>
      </c>
      <c r="Y15" s="17">
        <f t="shared" ref="Y15:Y22" si="9">LOG10(V15*100*W15/X15*1000)</f>
        <v>7.7047995479967426</v>
      </c>
    </row>
    <row r="16" spans="1:30" x14ac:dyDescent="0.2">
      <c r="A16" s="10" t="s">
        <v>12</v>
      </c>
      <c r="B16">
        <v>0</v>
      </c>
      <c r="C16">
        <v>0</v>
      </c>
      <c r="D16">
        <f t="shared" si="6"/>
        <v>0</v>
      </c>
      <c r="E16" s="10">
        <v>1</v>
      </c>
      <c r="F16" s="10">
        <f>1671.3-1627.8</f>
        <v>43.5</v>
      </c>
      <c r="G16" s="11" t="e">
        <f t="shared" ref="G16:G22" si="10">LOG10(D16*100*E16/F16*1000)</f>
        <v>#NUM!</v>
      </c>
      <c r="J16" s="10" t="s">
        <v>12</v>
      </c>
      <c r="K16">
        <v>7</v>
      </c>
      <c r="L16">
        <v>7</v>
      </c>
      <c r="M16">
        <f t="shared" si="7"/>
        <v>7</v>
      </c>
      <c r="N16" s="10">
        <v>100</v>
      </c>
      <c r="O16" s="10">
        <f>1873.2-1775.7</f>
        <v>97.5</v>
      </c>
      <c r="P16" s="11">
        <f t="shared" ref="P16:P22" si="11">LOG10(M16*100*N16/O16*1000)</f>
        <v>5.8560934243157199</v>
      </c>
      <c r="S16" s="10" t="s">
        <v>12</v>
      </c>
      <c r="T16" s="16">
        <v>14</v>
      </c>
      <c r="U16" s="16">
        <v>20</v>
      </c>
      <c r="V16" s="16">
        <f t="shared" si="8"/>
        <v>17</v>
      </c>
      <c r="W16" s="15">
        <v>10000</v>
      </c>
      <c r="X16" s="15">
        <f>1635.5-1584.6</f>
        <v>50.900000000000091</v>
      </c>
      <c r="Y16" s="17">
        <f t="shared" si="9"/>
        <v>8.523731139041514</v>
      </c>
    </row>
    <row r="17" spans="1:25" x14ac:dyDescent="0.2">
      <c r="A17" s="10" t="s">
        <v>17</v>
      </c>
      <c r="B17">
        <v>10</v>
      </c>
      <c r="C17">
        <v>10</v>
      </c>
      <c r="D17">
        <f t="shared" si="6"/>
        <v>10</v>
      </c>
      <c r="E17" s="10">
        <v>1</v>
      </c>
      <c r="F17" s="10">
        <f>1725.5-1709.9</f>
        <v>15.599999999999909</v>
      </c>
      <c r="G17" s="11">
        <f t="shared" si="10"/>
        <v>4.8068754016455406</v>
      </c>
      <c r="J17" s="10" t="s">
        <v>17</v>
      </c>
      <c r="K17">
        <v>11</v>
      </c>
      <c r="L17">
        <v>12</v>
      </c>
      <c r="M17">
        <f t="shared" si="7"/>
        <v>11.5</v>
      </c>
      <c r="N17" s="10">
        <v>1</v>
      </c>
      <c r="O17" s="10">
        <f>1761.6-1683</f>
        <v>78.599999999999909</v>
      </c>
      <c r="P17" s="11">
        <f t="shared" si="11"/>
        <v>4.1652752943142044</v>
      </c>
      <c r="S17" s="10" t="s">
        <v>17</v>
      </c>
      <c r="T17" s="16">
        <v>51</v>
      </c>
      <c r="U17" s="16">
        <v>45</v>
      </c>
      <c r="V17" s="16">
        <f t="shared" si="8"/>
        <v>48</v>
      </c>
      <c r="W17" s="15">
        <v>1000</v>
      </c>
      <c r="X17" s="15">
        <f>1794.9-1768.6</f>
        <v>26.300000000000182</v>
      </c>
      <c r="Y17" s="17">
        <f t="shared" si="9"/>
        <v>8.2612854888858269</v>
      </c>
    </row>
    <row r="18" spans="1:25" x14ac:dyDescent="0.2">
      <c r="A18" s="10" t="s">
        <v>13</v>
      </c>
      <c r="B18">
        <v>13</v>
      </c>
      <c r="C18">
        <v>17</v>
      </c>
      <c r="D18">
        <f t="shared" si="6"/>
        <v>15</v>
      </c>
      <c r="E18" s="10">
        <v>100</v>
      </c>
      <c r="F18" s="10">
        <f>1721.9-1697.2</f>
        <v>24.700000000000045</v>
      </c>
      <c r="G18" s="11">
        <f t="shared" si="10"/>
        <v>6.7833943057960147</v>
      </c>
      <c r="J18" s="10" t="s">
        <v>13</v>
      </c>
      <c r="K18">
        <v>4</v>
      </c>
      <c r="L18">
        <v>2</v>
      </c>
      <c r="M18">
        <f t="shared" si="7"/>
        <v>3</v>
      </c>
      <c r="N18" s="10">
        <v>1</v>
      </c>
      <c r="O18" s="10">
        <f>1863-1730.9</f>
        <v>132.09999999999991</v>
      </c>
      <c r="P18" s="11">
        <f t="shared" si="11"/>
        <v>3.3562184371051353</v>
      </c>
      <c r="S18" s="10" t="s">
        <v>13</v>
      </c>
      <c r="T18" s="16">
        <v>6</v>
      </c>
      <c r="U18" s="16">
        <v>8</v>
      </c>
      <c r="V18" s="16">
        <f t="shared" si="8"/>
        <v>7</v>
      </c>
      <c r="W18" s="15">
        <v>1000</v>
      </c>
      <c r="X18" s="15">
        <f>1751.6-1736.9</f>
        <v>14.699999999999818</v>
      </c>
      <c r="Y18" s="17">
        <f t="shared" si="9"/>
        <v>7.6777807052660858</v>
      </c>
    </row>
    <row r="19" spans="1:25" x14ac:dyDescent="0.2">
      <c r="A19" s="10" t="s">
        <v>18</v>
      </c>
      <c r="B19">
        <v>20</v>
      </c>
      <c r="C19">
        <v>14</v>
      </c>
      <c r="D19">
        <f t="shared" si="6"/>
        <v>17</v>
      </c>
      <c r="E19" s="10">
        <v>100</v>
      </c>
      <c r="F19" s="10">
        <f>1742.8-1718.8</f>
        <v>24</v>
      </c>
      <c r="G19" s="11">
        <f t="shared" si="10"/>
        <v>6.8502376796666677</v>
      </c>
      <c r="J19" s="10" t="s">
        <v>18</v>
      </c>
      <c r="K19">
        <v>1</v>
      </c>
      <c r="L19">
        <v>2</v>
      </c>
      <c r="M19">
        <f t="shared" si="7"/>
        <v>1.5</v>
      </c>
      <c r="N19" s="10">
        <v>1</v>
      </c>
      <c r="O19" s="10">
        <f>1718.1-1606.5</f>
        <v>111.59999999999991</v>
      </c>
      <c r="P19" s="11">
        <f t="shared" si="11"/>
        <v>3.1284270644541214</v>
      </c>
      <c r="S19" s="10" t="s">
        <v>18</v>
      </c>
      <c r="T19" s="16">
        <v>30</v>
      </c>
      <c r="U19" s="16">
        <v>32</v>
      </c>
      <c r="V19" s="16">
        <f t="shared" si="8"/>
        <v>31</v>
      </c>
      <c r="W19" s="15">
        <v>100</v>
      </c>
      <c r="X19" s="15">
        <f>1705.4-1686.1</f>
        <v>19.300000000000182</v>
      </c>
      <c r="Y19" s="17">
        <f t="shared" si="9"/>
        <v>7.2058043848264948</v>
      </c>
    </row>
    <row r="20" spans="1:25" x14ac:dyDescent="0.2">
      <c r="A20" s="10" t="s">
        <v>19</v>
      </c>
      <c r="B20">
        <v>44</v>
      </c>
      <c r="C20">
        <v>29</v>
      </c>
      <c r="D20">
        <f t="shared" si="6"/>
        <v>36.5</v>
      </c>
      <c r="E20" s="10">
        <v>10</v>
      </c>
      <c r="F20" s="10">
        <f>1654.9-1626.8</f>
        <v>28.100000000000136</v>
      </c>
      <c r="G20" s="11">
        <f t="shared" si="10"/>
        <v>6.1135865445513931</v>
      </c>
      <c r="J20" s="10" t="s">
        <v>19</v>
      </c>
      <c r="K20">
        <v>0</v>
      </c>
      <c r="L20">
        <v>0</v>
      </c>
      <c r="M20">
        <f t="shared" si="7"/>
        <v>0</v>
      </c>
      <c r="N20" s="10">
        <v>1</v>
      </c>
      <c r="O20" s="10">
        <f>1801.2-1664.7</f>
        <v>136.5</v>
      </c>
      <c r="P20" s="11" t="e">
        <f t="shared" si="11"/>
        <v>#NUM!</v>
      </c>
      <c r="S20" s="10" t="s">
        <v>19</v>
      </c>
      <c r="T20" s="16">
        <v>19</v>
      </c>
      <c r="U20" s="16">
        <v>13</v>
      </c>
      <c r="V20" s="16">
        <f t="shared" si="8"/>
        <v>16</v>
      </c>
      <c r="W20" s="15">
        <v>100</v>
      </c>
      <c r="X20" s="15">
        <f>1872.2-1823.4</f>
        <v>48.799999999999955</v>
      </c>
      <c r="Y20" s="17">
        <f t="shared" si="9"/>
        <v>6.515700160653215</v>
      </c>
    </row>
    <row r="21" spans="1:25" x14ac:dyDescent="0.2">
      <c r="A21" s="10" t="s">
        <v>20</v>
      </c>
      <c r="B21">
        <v>13</v>
      </c>
      <c r="C21">
        <v>9</v>
      </c>
      <c r="D21">
        <f t="shared" si="6"/>
        <v>11</v>
      </c>
      <c r="E21" s="10">
        <v>1</v>
      </c>
      <c r="F21" s="10">
        <f>1787.2-1760.3</f>
        <v>26.900000000000091</v>
      </c>
      <c r="G21" s="11">
        <f t="shared" si="10"/>
        <v>4.611640405155816</v>
      </c>
      <c r="J21" s="10" t="s">
        <v>20</v>
      </c>
      <c r="K21">
        <v>0</v>
      </c>
      <c r="L21">
        <v>0</v>
      </c>
      <c r="M21">
        <f t="shared" si="7"/>
        <v>0</v>
      </c>
      <c r="N21" s="10">
        <v>1</v>
      </c>
      <c r="O21" s="10">
        <f>1839.5-1773.8</f>
        <v>65.700000000000045</v>
      </c>
      <c r="P21" s="11" t="e">
        <f t="shared" si="11"/>
        <v>#NUM!</v>
      </c>
      <c r="S21" s="10" t="s">
        <v>20</v>
      </c>
      <c r="T21" s="16">
        <v>17</v>
      </c>
      <c r="U21" s="16">
        <v>13</v>
      </c>
      <c r="V21" s="16">
        <f t="shared" si="8"/>
        <v>15</v>
      </c>
      <c r="W21" s="15">
        <v>10</v>
      </c>
      <c r="X21" s="15">
        <f>1776.9-1670.1</f>
        <v>106.80000000000018</v>
      </c>
      <c r="Y21" s="17">
        <f t="shared" si="9"/>
        <v>5.147520006363143</v>
      </c>
    </row>
    <row r="22" spans="1:25" x14ac:dyDescent="0.2">
      <c r="A22" s="10" t="s">
        <v>21</v>
      </c>
      <c r="B22">
        <v>5</v>
      </c>
      <c r="C22">
        <v>5</v>
      </c>
      <c r="D22">
        <f t="shared" si="6"/>
        <v>5</v>
      </c>
      <c r="E22" s="10">
        <v>1</v>
      </c>
      <c r="F22" s="10">
        <f>1796.2-1712.1</f>
        <v>84.100000000000136</v>
      </c>
      <c r="G22" s="11">
        <f t="shared" si="10"/>
        <v>3.7741740085381061</v>
      </c>
      <c r="J22" s="10" t="s">
        <v>21</v>
      </c>
      <c r="K22">
        <v>0</v>
      </c>
      <c r="L22">
        <v>0</v>
      </c>
      <c r="M22">
        <f t="shared" si="7"/>
        <v>0</v>
      </c>
      <c r="N22" s="10">
        <v>1</v>
      </c>
      <c r="O22" s="10">
        <f>1937.5-1779</f>
        <v>158.5</v>
      </c>
      <c r="P22" s="11" t="e">
        <f t="shared" si="11"/>
        <v>#NUM!</v>
      </c>
      <c r="S22" s="10" t="s">
        <v>21</v>
      </c>
      <c r="T22" s="16">
        <v>2</v>
      </c>
      <c r="U22" s="16">
        <v>4</v>
      </c>
      <c r="V22" s="16">
        <f>AVERAGE(T22:U22)</f>
        <v>3</v>
      </c>
      <c r="W22" s="15">
        <v>1</v>
      </c>
      <c r="X22" s="15">
        <f>1889.8-1790.4</f>
        <v>99.399999999999864</v>
      </c>
      <c r="Y22" s="17">
        <f t="shared" si="9"/>
        <v>3.4797348703223498</v>
      </c>
    </row>
    <row r="23" spans="1:25" x14ac:dyDescent="0.2">
      <c r="A23" s="10"/>
      <c r="G23" s="11"/>
      <c r="J23" s="10"/>
      <c r="P23" s="11"/>
      <c r="S23" s="10"/>
      <c r="T23" s="16"/>
      <c r="U23" s="16"/>
      <c r="V23" s="16"/>
      <c r="W23" s="15"/>
      <c r="X23" s="15"/>
      <c r="Y23" s="17"/>
    </row>
    <row r="24" spans="1:25" x14ac:dyDescent="0.2">
      <c r="S24" s="16"/>
      <c r="T24" s="16"/>
      <c r="U24" s="16"/>
      <c r="V24" s="16"/>
      <c r="W24" s="15"/>
      <c r="X24" s="15"/>
      <c r="Y24" s="17"/>
    </row>
    <row r="25" spans="1:25" ht="51" x14ac:dyDescent="0.2">
      <c r="A25" s="7" t="s">
        <v>28</v>
      </c>
      <c r="B25" s="25" t="s">
        <v>7</v>
      </c>
      <c r="C25" s="25"/>
      <c r="D25" s="13" t="s">
        <v>8</v>
      </c>
      <c r="E25" s="13" t="s">
        <v>9</v>
      </c>
      <c r="F25" s="13" t="s">
        <v>10</v>
      </c>
      <c r="G25" s="14" t="s">
        <v>11</v>
      </c>
      <c r="J25" s="12" t="s">
        <v>29</v>
      </c>
      <c r="K25" s="25" t="s">
        <v>7</v>
      </c>
      <c r="L25" s="25"/>
      <c r="M25" s="13" t="s">
        <v>8</v>
      </c>
      <c r="N25" s="13" t="s">
        <v>9</v>
      </c>
      <c r="O25" s="13" t="s">
        <v>10</v>
      </c>
      <c r="P25" s="14" t="s">
        <v>11</v>
      </c>
      <c r="S25" s="7" t="s">
        <v>30</v>
      </c>
      <c r="T25" s="25" t="s">
        <v>7</v>
      </c>
      <c r="U25" s="25"/>
      <c r="V25" s="13" t="s">
        <v>8</v>
      </c>
      <c r="W25" s="13" t="s">
        <v>9</v>
      </c>
      <c r="X25" s="13" t="s">
        <v>10</v>
      </c>
      <c r="Y25" s="14" t="s">
        <v>11</v>
      </c>
    </row>
    <row r="26" spans="1:25" x14ac:dyDescent="0.2">
      <c r="A26" s="10" t="s">
        <v>14</v>
      </c>
      <c r="B26" s="16">
        <v>0</v>
      </c>
      <c r="C26" s="16">
        <v>0</v>
      </c>
      <c r="D26" s="16">
        <f>AVERAGE(B26:C26)</f>
        <v>0</v>
      </c>
      <c r="E26" s="15">
        <v>1</v>
      </c>
      <c r="F26" s="15">
        <f>1764.5-1693.3</f>
        <v>71.200000000000045</v>
      </c>
      <c r="G26" s="17" t="e">
        <f>LOG10(D26*100*E26/F26*1000)</f>
        <v>#NUM!</v>
      </c>
      <c r="J26" s="10" t="s">
        <v>14</v>
      </c>
      <c r="K26" s="16">
        <v>9</v>
      </c>
      <c r="L26" s="16">
        <v>8</v>
      </c>
      <c r="M26" s="16">
        <f>AVERAGE(K26:L26)</f>
        <v>8.5</v>
      </c>
      <c r="N26" s="15">
        <v>1</v>
      </c>
      <c r="O26" s="15">
        <f>1732-1711.5</f>
        <v>20.5</v>
      </c>
      <c r="P26" s="17">
        <f>LOG10(M26*100*N26/O26*1000)</f>
        <v>4.6176650646585387</v>
      </c>
      <c r="S26" s="10" t="s">
        <v>14</v>
      </c>
      <c r="T26" s="16">
        <v>4</v>
      </c>
      <c r="U26" s="16">
        <v>1</v>
      </c>
      <c r="V26" s="16">
        <f>AVERAGE(T26:U26)</f>
        <v>2.5</v>
      </c>
      <c r="W26" s="15">
        <v>1</v>
      </c>
      <c r="X26" s="15">
        <f>1646.5-1596.1</f>
        <v>50.400000000000091</v>
      </c>
      <c r="Y26" s="17">
        <f>LOG10(V26*100*W26/X26*1000)</f>
        <v>3.6955094722265116</v>
      </c>
    </row>
    <row r="27" spans="1:25" x14ac:dyDescent="0.2">
      <c r="A27" s="10" t="s">
        <v>15</v>
      </c>
      <c r="B27" s="16">
        <v>0</v>
      </c>
      <c r="C27" s="16">
        <v>0</v>
      </c>
      <c r="D27" s="16">
        <f t="shared" ref="D27:D34" si="12">AVERAGE(B27:C27)</f>
        <v>0</v>
      </c>
      <c r="E27" s="15">
        <v>1</v>
      </c>
      <c r="F27" s="15">
        <f>1703.3-1649.5</f>
        <v>53.799999999999955</v>
      </c>
      <c r="G27" s="17" t="e">
        <f t="shared" ref="G27:G34" si="13">LOG10(D27*100*E27/F27*1000)</f>
        <v>#NUM!</v>
      </c>
      <c r="J27" s="10" t="s">
        <v>15</v>
      </c>
      <c r="K27" s="16">
        <v>4</v>
      </c>
      <c r="L27" s="16">
        <v>4</v>
      </c>
      <c r="M27" s="16">
        <f t="shared" ref="M27:M34" si="14">AVERAGE(K27:L27)</f>
        <v>4</v>
      </c>
      <c r="N27" s="15">
        <v>10</v>
      </c>
      <c r="O27" s="15">
        <f>1703-1675.7</f>
        <v>27.299999999999955</v>
      </c>
      <c r="P27" s="17">
        <f>LOG10(M27*100*N27/O27*1000)</f>
        <v>5.1658973442872069</v>
      </c>
      <c r="S27" s="10" t="s">
        <v>15</v>
      </c>
      <c r="T27" s="16">
        <v>0</v>
      </c>
      <c r="U27" s="16">
        <v>0</v>
      </c>
      <c r="V27" s="16">
        <f t="shared" ref="V27:V34" si="15">AVERAGE(T27:U27)</f>
        <v>0</v>
      </c>
      <c r="W27" s="15">
        <v>1</v>
      </c>
      <c r="X27" s="15">
        <f>1837.9-1787.8</f>
        <v>50.100000000000136</v>
      </c>
      <c r="Y27" s="17" t="e">
        <f t="shared" ref="Y27:Y34" si="16">LOG10(V27*100*W27/X27*1000)</f>
        <v>#NUM!</v>
      </c>
    </row>
    <row r="28" spans="1:25" x14ac:dyDescent="0.2">
      <c r="A28" s="10" t="s">
        <v>12</v>
      </c>
      <c r="B28" s="16">
        <v>1</v>
      </c>
      <c r="C28" s="16">
        <v>0</v>
      </c>
      <c r="D28" s="16">
        <f t="shared" si="12"/>
        <v>0.5</v>
      </c>
      <c r="E28" s="15">
        <v>1</v>
      </c>
      <c r="F28" s="15">
        <f>1669.4-1647.3</f>
        <v>22.100000000000136</v>
      </c>
      <c r="G28" s="17">
        <f t="shared" si="13"/>
        <v>3.3545777306509055</v>
      </c>
      <c r="J28" s="10" t="s">
        <v>12</v>
      </c>
      <c r="K28" s="16">
        <v>23</v>
      </c>
      <c r="L28" s="16">
        <v>29</v>
      </c>
      <c r="M28" s="16">
        <f t="shared" si="14"/>
        <v>26</v>
      </c>
      <c r="N28" s="15">
        <v>10</v>
      </c>
      <c r="O28" s="15">
        <f>1758-1714</f>
        <v>44</v>
      </c>
      <c r="P28" s="17">
        <f>LOG10(M28*100*N28/O28*1000)</f>
        <v>5.7715206714846303</v>
      </c>
      <c r="S28" s="10" t="s">
        <v>12</v>
      </c>
      <c r="T28" s="16">
        <v>4</v>
      </c>
      <c r="U28" s="16">
        <v>6</v>
      </c>
      <c r="V28" s="16">
        <f t="shared" si="15"/>
        <v>5</v>
      </c>
      <c r="W28" s="15">
        <v>1</v>
      </c>
      <c r="X28" s="15">
        <f>1660.4-1642.5</f>
        <v>17.900000000000091</v>
      </c>
      <c r="Y28" s="17">
        <f t="shared" si="16"/>
        <v>4.4461169733561237</v>
      </c>
    </row>
    <row r="29" spans="1:25" x14ac:dyDescent="0.2">
      <c r="A29" s="10" t="s">
        <v>17</v>
      </c>
      <c r="B29" s="16">
        <v>0</v>
      </c>
      <c r="C29" s="16">
        <v>0</v>
      </c>
      <c r="D29" s="16">
        <f t="shared" si="12"/>
        <v>0</v>
      </c>
      <c r="E29" s="15">
        <v>1</v>
      </c>
      <c r="F29" s="15">
        <f>1818.8-1790.7</f>
        <v>28.099999999999909</v>
      </c>
      <c r="G29" s="17" t="e">
        <f t="shared" si="13"/>
        <v>#NUM!</v>
      </c>
      <c r="J29" s="10" t="s">
        <v>17</v>
      </c>
      <c r="K29" s="16">
        <v>7</v>
      </c>
      <c r="L29" s="16">
        <v>10</v>
      </c>
      <c r="M29" s="16">
        <f t="shared" si="14"/>
        <v>8.5</v>
      </c>
      <c r="N29" s="15">
        <v>100</v>
      </c>
      <c r="O29" s="15">
        <f>1742.6-1716.9</f>
        <v>25.699999999999818</v>
      </c>
      <c r="P29" s="17">
        <f>LOG10(M29*100*N29/O29*1000)</f>
        <v>6.5194858023830013</v>
      </c>
      <c r="S29" s="10" t="s">
        <v>17</v>
      </c>
      <c r="T29" s="16">
        <v>6</v>
      </c>
      <c r="U29" s="16">
        <v>6</v>
      </c>
      <c r="V29" s="16">
        <f t="shared" si="15"/>
        <v>6</v>
      </c>
      <c r="W29" s="15">
        <v>10</v>
      </c>
      <c r="X29" s="15">
        <f>1702.2-1656.2</f>
        <v>46</v>
      </c>
      <c r="Y29" s="17">
        <f t="shared" si="16"/>
        <v>5.1153934187020695</v>
      </c>
    </row>
    <row r="30" spans="1:25" x14ac:dyDescent="0.2">
      <c r="A30" s="10" t="s">
        <v>13</v>
      </c>
      <c r="B30" s="16">
        <v>2</v>
      </c>
      <c r="C30" s="16">
        <v>2</v>
      </c>
      <c r="D30" s="16">
        <f t="shared" si="12"/>
        <v>2</v>
      </c>
      <c r="E30" s="15">
        <v>1</v>
      </c>
      <c r="F30" s="15">
        <f>1848.4-1762.8</f>
        <v>85.600000000000136</v>
      </c>
      <c r="G30" s="17">
        <f t="shared" si="13"/>
        <v>3.3685562309868273</v>
      </c>
      <c r="J30" s="10" t="s">
        <v>13</v>
      </c>
      <c r="K30" s="16">
        <v>5</v>
      </c>
      <c r="L30" s="16">
        <v>5</v>
      </c>
      <c r="M30" s="16">
        <f t="shared" si="14"/>
        <v>5</v>
      </c>
      <c r="N30" s="15">
        <v>1000</v>
      </c>
      <c r="O30" s="15">
        <f>1877.2-1802.2</f>
        <v>75</v>
      </c>
      <c r="P30" s="17">
        <f t="shared" ref="P30:P34" si="17">LOG10(M30*100*N30/O30*1000)</f>
        <v>6.8239087409443187</v>
      </c>
      <c r="S30" s="10" t="s">
        <v>13</v>
      </c>
      <c r="T30" s="16">
        <v>14</v>
      </c>
      <c r="U30" s="16">
        <v>7</v>
      </c>
      <c r="V30" s="16">
        <f t="shared" si="15"/>
        <v>10.5</v>
      </c>
      <c r="W30" s="15">
        <v>1</v>
      </c>
      <c r="X30" s="15">
        <f>1812.7-1780</f>
        <v>32.700000000000045</v>
      </c>
      <c r="Y30" s="17">
        <f t="shared" si="16"/>
        <v>4.506641546409651</v>
      </c>
    </row>
    <row r="31" spans="1:25" x14ac:dyDescent="0.2">
      <c r="A31" s="10" t="s">
        <v>18</v>
      </c>
      <c r="B31" s="16">
        <v>3</v>
      </c>
      <c r="C31" s="16">
        <v>3</v>
      </c>
      <c r="D31" s="16">
        <f t="shared" si="12"/>
        <v>3</v>
      </c>
      <c r="E31" s="15">
        <v>1</v>
      </c>
      <c r="F31" s="15">
        <f>1627.8-1603.2</f>
        <v>24.599999999999909</v>
      </c>
      <c r="G31" s="17">
        <f t="shared" si="13"/>
        <v>4.0861861476162851</v>
      </c>
      <c r="J31" s="10" t="s">
        <v>18</v>
      </c>
      <c r="K31" s="16">
        <v>12</v>
      </c>
      <c r="L31" s="16">
        <v>16</v>
      </c>
      <c r="M31" s="16">
        <f t="shared" si="14"/>
        <v>14</v>
      </c>
      <c r="N31" s="15">
        <v>1000</v>
      </c>
      <c r="O31" s="15">
        <f>1769-1673.1</f>
        <v>95.900000000000091</v>
      </c>
      <c r="P31" s="17">
        <f t="shared" si="17"/>
        <v>7.1643094285075737</v>
      </c>
      <c r="S31" s="10" t="s">
        <v>18</v>
      </c>
      <c r="T31" s="16">
        <v>3</v>
      </c>
      <c r="U31" s="16">
        <v>1</v>
      </c>
      <c r="V31" s="16">
        <f t="shared" si="15"/>
        <v>2</v>
      </c>
      <c r="W31" s="15">
        <v>1</v>
      </c>
      <c r="X31" s="15">
        <f>1763.4-1728.7</f>
        <v>34.700000000000045</v>
      </c>
      <c r="Y31" s="17">
        <f t="shared" si="16"/>
        <v>3.7607005208731068</v>
      </c>
    </row>
    <row r="32" spans="1:25" x14ac:dyDescent="0.2">
      <c r="A32" s="10" t="s">
        <v>19</v>
      </c>
      <c r="B32" s="16">
        <v>4</v>
      </c>
      <c r="C32" s="16">
        <v>8</v>
      </c>
      <c r="D32" s="16">
        <f t="shared" si="12"/>
        <v>6</v>
      </c>
      <c r="E32" s="10">
        <v>1</v>
      </c>
      <c r="F32" s="10">
        <f>1808.9-1796.7</f>
        <v>12.200000000000045</v>
      </c>
      <c r="G32" s="17">
        <f t="shared" si="13"/>
        <v>4.6917914197088937</v>
      </c>
      <c r="J32" s="10" t="s">
        <v>19</v>
      </c>
      <c r="K32" s="16">
        <v>18</v>
      </c>
      <c r="L32" s="16">
        <v>18</v>
      </c>
      <c r="M32" s="16">
        <f t="shared" si="14"/>
        <v>18</v>
      </c>
      <c r="N32" s="10">
        <v>10</v>
      </c>
      <c r="O32" s="10">
        <f>1923.1-1891.9</f>
        <v>31.199999999999818</v>
      </c>
      <c r="P32" s="17">
        <f t="shared" si="17"/>
        <v>5.7611179110848658</v>
      </c>
      <c r="S32" s="10" t="s">
        <v>19</v>
      </c>
      <c r="T32" s="16">
        <v>0</v>
      </c>
      <c r="U32" s="16">
        <v>0</v>
      </c>
      <c r="V32" s="16">
        <f t="shared" si="15"/>
        <v>0</v>
      </c>
      <c r="W32" s="15">
        <v>1</v>
      </c>
      <c r="X32" s="15">
        <f>1635-1601.1</f>
        <v>33.900000000000091</v>
      </c>
      <c r="Y32" s="17" t="e">
        <f t="shared" si="16"/>
        <v>#NUM!</v>
      </c>
    </row>
    <row r="33" spans="1:25" x14ac:dyDescent="0.2">
      <c r="A33" s="10" t="s">
        <v>20</v>
      </c>
      <c r="B33" s="16">
        <v>0</v>
      </c>
      <c r="C33" s="16">
        <v>0</v>
      </c>
      <c r="D33" s="16">
        <f t="shared" si="12"/>
        <v>0</v>
      </c>
      <c r="E33" s="10">
        <v>1</v>
      </c>
      <c r="F33" s="10">
        <f>1797.4-1752.7</f>
        <v>44.700000000000045</v>
      </c>
      <c r="G33" s="17" t="e">
        <f t="shared" si="13"/>
        <v>#NUM!</v>
      </c>
      <c r="J33" s="10" t="s">
        <v>20</v>
      </c>
      <c r="K33" s="16">
        <v>0</v>
      </c>
      <c r="L33" s="16">
        <v>0</v>
      </c>
      <c r="M33" s="16">
        <f t="shared" si="14"/>
        <v>0</v>
      </c>
      <c r="N33" s="10">
        <v>1</v>
      </c>
      <c r="O33" s="10">
        <f>1803.9-1775.9</f>
        <v>28</v>
      </c>
      <c r="P33" s="17" t="e">
        <f t="shared" si="17"/>
        <v>#NUM!</v>
      </c>
      <c r="S33" s="10" t="s">
        <v>20</v>
      </c>
      <c r="T33" s="16">
        <v>13</v>
      </c>
      <c r="U33" s="16">
        <v>19</v>
      </c>
      <c r="V33" s="16">
        <f t="shared" si="15"/>
        <v>16</v>
      </c>
      <c r="W33" s="15">
        <v>100</v>
      </c>
      <c r="X33" s="15">
        <f>1805.8-1738.2</f>
        <v>67.599999999999909</v>
      </c>
      <c r="Y33" s="17">
        <f t="shared" si="16"/>
        <v>6.3741732867142895</v>
      </c>
    </row>
    <row r="34" spans="1:25" x14ac:dyDescent="0.2">
      <c r="A34" s="10" t="s">
        <v>21</v>
      </c>
      <c r="B34" s="16">
        <v>1</v>
      </c>
      <c r="C34" s="16">
        <v>1</v>
      </c>
      <c r="D34" s="16">
        <f t="shared" si="12"/>
        <v>1</v>
      </c>
      <c r="E34" s="10">
        <v>1</v>
      </c>
      <c r="F34" s="10">
        <f>1795.9-1671.6</f>
        <v>124.30000000000018</v>
      </c>
      <c r="G34" s="17">
        <f t="shared" si="13"/>
        <v>2.9055288713583547</v>
      </c>
      <c r="J34" s="10" t="s">
        <v>21</v>
      </c>
      <c r="K34" s="16">
        <v>0</v>
      </c>
      <c r="L34" s="16">
        <v>0</v>
      </c>
      <c r="M34" s="16">
        <f t="shared" si="14"/>
        <v>0</v>
      </c>
      <c r="N34" s="10">
        <v>1</v>
      </c>
      <c r="O34" s="10">
        <f>1745.1-1647.8</f>
        <v>97.299999999999955</v>
      </c>
      <c r="P34" s="17" t="e">
        <f t="shared" si="17"/>
        <v>#NUM!</v>
      </c>
      <c r="S34" s="10" t="s">
        <v>21</v>
      </c>
      <c r="T34" s="16">
        <v>5</v>
      </c>
      <c r="U34" s="16">
        <v>5</v>
      </c>
      <c r="V34" s="16">
        <f t="shared" si="15"/>
        <v>5</v>
      </c>
      <c r="W34" s="15">
        <v>10</v>
      </c>
      <c r="X34" s="15">
        <f>1906.3-1723.9</f>
        <v>182.39999999999986</v>
      </c>
      <c r="Y34" s="17">
        <f t="shared" si="16"/>
        <v>4.4379451703436219</v>
      </c>
    </row>
    <row r="35" spans="1:25" x14ac:dyDescent="0.2">
      <c r="A35" s="10"/>
      <c r="D35" s="16"/>
      <c r="G35" s="17"/>
      <c r="J35" s="10"/>
      <c r="M35" s="16"/>
      <c r="P35" s="17"/>
      <c r="S35" s="10"/>
      <c r="T35" s="16"/>
      <c r="U35" s="16"/>
      <c r="V35" s="16"/>
      <c r="W35" s="15"/>
      <c r="X35" s="15"/>
      <c r="Y35" s="17"/>
    </row>
    <row r="36" spans="1:25" x14ac:dyDescent="0.2">
      <c r="S36" s="16"/>
      <c r="T36" s="16"/>
      <c r="U36" s="16"/>
      <c r="V36" s="16"/>
      <c r="W36" s="15"/>
      <c r="X36" s="15"/>
      <c r="Y36" s="17"/>
    </row>
    <row r="37" spans="1:25" ht="51" x14ac:dyDescent="0.2">
      <c r="A37" s="7" t="s">
        <v>31</v>
      </c>
      <c r="B37" s="25" t="s">
        <v>7</v>
      </c>
      <c r="C37" s="25"/>
      <c r="D37" s="13" t="s">
        <v>8</v>
      </c>
      <c r="E37" s="13" t="s">
        <v>9</v>
      </c>
      <c r="F37" s="13" t="s">
        <v>10</v>
      </c>
      <c r="G37" s="14" t="s">
        <v>11</v>
      </c>
      <c r="J37" s="12" t="s">
        <v>32</v>
      </c>
      <c r="K37" s="25" t="s">
        <v>7</v>
      </c>
      <c r="L37" s="25"/>
      <c r="M37" s="13" t="s">
        <v>8</v>
      </c>
      <c r="N37" s="13" t="s">
        <v>9</v>
      </c>
      <c r="O37" s="13" t="s">
        <v>10</v>
      </c>
      <c r="P37" s="14" t="s">
        <v>11</v>
      </c>
      <c r="S37" s="12" t="s">
        <v>33</v>
      </c>
      <c r="T37" s="25" t="s">
        <v>7</v>
      </c>
      <c r="U37" s="25"/>
      <c r="V37" s="13" t="s">
        <v>8</v>
      </c>
      <c r="W37" s="13" t="s">
        <v>9</v>
      </c>
      <c r="X37" s="13" t="s">
        <v>10</v>
      </c>
      <c r="Y37" s="14" t="s">
        <v>11</v>
      </c>
    </row>
    <row r="38" spans="1:25" x14ac:dyDescent="0.2">
      <c r="A38" s="10" t="s">
        <v>14</v>
      </c>
      <c r="B38" s="16">
        <v>2</v>
      </c>
      <c r="C38" s="16">
        <v>0</v>
      </c>
      <c r="D38" s="16">
        <f>AVERAGE(B38:C38)</f>
        <v>1</v>
      </c>
      <c r="E38" s="15">
        <v>1</v>
      </c>
      <c r="F38" s="15">
        <f>1729.1-1689.2</f>
        <v>39.899999999999864</v>
      </c>
      <c r="G38" s="17">
        <f>LOG10(D38*100*E38/F38*1000)</f>
        <v>3.3990271043132534</v>
      </c>
      <c r="J38" s="10" t="s">
        <v>14</v>
      </c>
      <c r="K38" s="16">
        <v>15</v>
      </c>
      <c r="L38" s="16">
        <v>14</v>
      </c>
      <c r="M38" s="16">
        <f>AVERAGE(K38:L38)</f>
        <v>14.5</v>
      </c>
      <c r="N38" s="15">
        <v>1</v>
      </c>
      <c r="O38" s="15">
        <f>1652.7-1606.5</f>
        <v>46.200000000000045</v>
      </c>
      <c r="P38" s="17">
        <f>LOG10(M38*100*N38/O38*1000)</f>
        <v>4.4967260266788491</v>
      </c>
      <c r="S38" s="10" t="s">
        <v>14</v>
      </c>
      <c r="T38" s="16">
        <v>1</v>
      </c>
      <c r="U38" s="16">
        <v>0</v>
      </c>
      <c r="V38" s="16">
        <f>AVERAGE(T38:U38)</f>
        <v>0.5</v>
      </c>
      <c r="W38" s="15">
        <v>1</v>
      </c>
      <c r="X38" s="15">
        <f>1786.3-1763.6</f>
        <v>22.700000000000045</v>
      </c>
      <c r="Y38" s="17">
        <f>LOG10(V38*100*W38/X38*1000)</f>
        <v>3.3429441471428953</v>
      </c>
    </row>
    <row r="39" spans="1:25" x14ac:dyDescent="0.2">
      <c r="A39" s="10" t="s">
        <v>15</v>
      </c>
      <c r="B39" s="16">
        <v>1</v>
      </c>
      <c r="C39" s="16">
        <v>3</v>
      </c>
      <c r="D39" s="16">
        <f t="shared" ref="D39:D46" si="18">AVERAGE(B39:C39)</f>
        <v>2</v>
      </c>
      <c r="E39" s="15">
        <v>1</v>
      </c>
      <c r="F39" s="15">
        <f>1717.4-1675.3</f>
        <v>42.100000000000136</v>
      </c>
      <c r="G39" s="17">
        <f t="shared" ref="G39:G46" si="19">LOG10(D39*100*E39/F39*1000)</f>
        <v>3.6767478998283116</v>
      </c>
      <c r="J39" s="10" t="s">
        <v>15</v>
      </c>
      <c r="K39" s="16">
        <v>0</v>
      </c>
      <c r="L39" s="16">
        <v>0</v>
      </c>
      <c r="M39" s="16">
        <f t="shared" ref="M39:M46" si="20">AVERAGE(K39:L39)</f>
        <v>0</v>
      </c>
      <c r="N39" s="15">
        <v>1</v>
      </c>
      <c r="O39" s="15">
        <f>1682.4-1664.6</f>
        <v>17.800000000000182</v>
      </c>
      <c r="P39" s="17" t="e">
        <f t="shared" ref="P39:P46" si="21">LOG10(M39*100*N39/O39*1000)</f>
        <v>#NUM!</v>
      </c>
      <c r="S39" s="10" t="s">
        <v>15</v>
      </c>
      <c r="T39" s="16">
        <v>29</v>
      </c>
      <c r="U39" s="16">
        <v>29</v>
      </c>
      <c r="V39" s="16">
        <f t="shared" ref="V39:V46" si="22">AVERAGE(T39:U39)</f>
        <v>29</v>
      </c>
      <c r="W39" s="15">
        <v>10</v>
      </c>
      <c r="X39" s="15">
        <f>1794.9-1733.4</f>
        <v>61.5</v>
      </c>
      <c r="Y39" s="17">
        <f t="shared" ref="Y39:Y46" si="23">LOG10(V39*100*W39/X39*1000)</f>
        <v>5.6735228821235397</v>
      </c>
    </row>
    <row r="40" spans="1:25" x14ac:dyDescent="0.2">
      <c r="A40" s="10" t="s">
        <v>12</v>
      </c>
      <c r="B40" s="16">
        <v>13</v>
      </c>
      <c r="C40" s="16">
        <v>11</v>
      </c>
      <c r="D40" s="16">
        <f t="shared" si="18"/>
        <v>12</v>
      </c>
      <c r="E40" s="15">
        <v>10</v>
      </c>
      <c r="F40" s="15">
        <f>1808.2-1787.8</f>
        <v>20.400000000000091</v>
      </c>
      <c r="G40" s="17">
        <f t="shared" si="19"/>
        <v>5.7695510786217241</v>
      </c>
      <c r="J40" s="10" t="s">
        <v>12</v>
      </c>
      <c r="K40" s="16">
        <v>0</v>
      </c>
      <c r="L40" s="16">
        <v>0</v>
      </c>
      <c r="M40" s="16">
        <f t="shared" si="20"/>
        <v>0</v>
      </c>
      <c r="N40" s="15">
        <v>1</v>
      </c>
      <c r="O40" s="15">
        <f>1894.6-1848.7</f>
        <v>45.899999999999864</v>
      </c>
      <c r="P40" s="17" t="e">
        <f t="shared" si="21"/>
        <v>#NUM!</v>
      </c>
      <c r="S40" s="10" t="s">
        <v>12</v>
      </c>
      <c r="T40" s="16">
        <v>13</v>
      </c>
      <c r="U40" s="16">
        <v>24</v>
      </c>
      <c r="V40" s="16">
        <f t="shared" si="22"/>
        <v>18.5</v>
      </c>
      <c r="W40" s="15">
        <v>10000</v>
      </c>
      <c r="X40" s="15">
        <f>1760.2-1700.1</f>
        <v>60.100000000000136</v>
      </c>
      <c r="Y40" s="17">
        <f t="shared" si="23"/>
        <v>8.4882972564002728</v>
      </c>
    </row>
    <row r="41" spans="1:25" x14ac:dyDescent="0.2">
      <c r="A41" s="10" t="s">
        <v>17</v>
      </c>
      <c r="B41" s="16">
        <v>8</v>
      </c>
      <c r="C41" s="16">
        <v>12</v>
      </c>
      <c r="D41" s="16">
        <f t="shared" si="18"/>
        <v>10</v>
      </c>
      <c r="E41" s="15">
        <v>1000</v>
      </c>
      <c r="F41" s="15">
        <f>1783.7-1725.6</f>
        <v>58.100000000000136</v>
      </c>
      <c r="G41" s="17">
        <f t="shared" si="19"/>
        <v>7.2358238676096684</v>
      </c>
      <c r="J41" s="10" t="s">
        <v>17</v>
      </c>
      <c r="K41" s="16">
        <v>0</v>
      </c>
      <c r="L41" s="16">
        <v>0</v>
      </c>
      <c r="M41" s="16">
        <f t="shared" si="20"/>
        <v>0</v>
      </c>
      <c r="N41" s="15">
        <v>1</v>
      </c>
      <c r="O41" s="15">
        <f>1885.6-1761.6</f>
        <v>124</v>
      </c>
      <c r="P41" s="17" t="e">
        <f t="shared" si="21"/>
        <v>#NUM!</v>
      </c>
      <c r="S41" s="10" t="s">
        <v>17</v>
      </c>
      <c r="T41" s="16"/>
      <c r="U41" s="16">
        <v>38</v>
      </c>
      <c r="V41" s="16">
        <f t="shared" si="22"/>
        <v>38</v>
      </c>
      <c r="W41" s="15">
        <v>1000</v>
      </c>
      <c r="X41" s="15">
        <f>1702.8-1671.1</f>
        <v>31.700000000000045</v>
      </c>
      <c r="Y41" s="17">
        <f t="shared" si="23"/>
        <v>8.0787243343990589</v>
      </c>
    </row>
    <row r="42" spans="1:25" x14ac:dyDescent="0.2">
      <c r="A42" s="10" t="s">
        <v>13</v>
      </c>
      <c r="B42" s="16">
        <v>5</v>
      </c>
      <c r="C42" s="16">
        <v>8</v>
      </c>
      <c r="D42" s="16">
        <f t="shared" si="18"/>
        <v>6.5</v>
      </c>
      <c r="E42" s="15">
        <v>1000</v>
      </c>
      <c r="F42" s="15">
        <f>1845.4-1810.8</f>
        <v>34.600000000000136</v>
      </c>
      <c r="G42" s="17">
        <f t="shared" si="19"/>
        <v>7.2738372578500776</v>
      </c>
      <c r="J42" s="10" t="s">
        <v>13</v>
      </c>
      <c r="K42" s="16">
        <v>0</v>
      </c>
      <c r="L42" s="16">
        <v>0</v>
      </c>
      <c r="M42" s="16">
        <f t="shared" si="20"/>
        <v>0</v>
      </c>
      <c r="N42" s="15">
        <v>1</v>
      </c>
      <c r="O42" s="15">
        <f>1834.3-1687</f>
        <v>147.29999999999995</v>
      </c>
      <c r="P42" s="17" t="e">
        <f t="shared" si="21"/>
        <v>#NUM!</v>
      </c>
      <c r="S42" s="10" t="s">
        <v>13</v>
      </c>
      <c r="T42" s="16"/>
      <c r="U42" s="16">
        <v>17</v>
      </c>
      <c r="V42" s="16">
        <f t="shared" si="22"/>
        <v>17</v>
      </c>
      <c r="W42" s="15">
        <v>1000</v>
      </c>
      <c r="X42" s="15">
        <f>1693.9-1656.3</f>
        <v>37.600000000000136</v>
      </c>
      <c r="Y42" s="17">
        <f t="shared" si="23"/>
        <v>7.6552610764506115</v>
      </c>
    </row>
    <row r="43" spans="1:25" x14ac:dyDescent="0.2">
      <c r="A43" s="10" t="s">
        <v>18</v>
      </c>
      <c r="B43" s="16">
        <v>5</v>
      </c>
      <c r="C43" s="16">
        <v>4</v>
      </c>
      <c r="D43" s="16">
        <f t="shared" si="18"/>
        <v>4.5</v>
      </c>
      <c r="E43" s="15">
        <v>100</v>
      </c>
      <c r="F43" s="15">
        <f>1823.3-1789.6</f>
        <v>33.700000000000045</v>
      </c>
      <c r="G43" s="17">
        <f t="shared" si="19"/>
        <v>6.1255826129040045</v>
      </c>
      <c r="J43" s="10" t="s">
        <v>18</v>
      </c>
      <c r="K43" s="16">
        <v>19</v>
      </c>
      <c r="L43" s="16">
        <v>21</v>
      </c>
      <c r="M43" s="16">
        <f t="shared" si="20"/>
        <v>20</v>
      </c>
      <c r="N43" s="15">
        <v>1</v>
      </c>
      <c r="O43" s="15">
        <f>1769-1673.6</f>
        <v>95.400000000000091</v>
      </c>
      <c r="P43" s="17">
        <f t="shared" si="21"/>
        <v>4.3214816209598856</v>
      </c>
      <c r="S43" s="10" t="s">
        <v>18</v>
      </c>
      <c r="T43" s="16">
        <v>22</v>
      </c>
      <c r="U43" s="16">
        <v>24</v>
      </c>
      <c r="V43" s="16">
        <f t="shared" si="22"/>
        <v>23</v>
      </c>
      <c r="W43" s="15">
        <v>100</v>
      </c>
      <c r="X43" s="15">
        <f>1799.8-1757.8</f>
        <v>42</v>
      </c>
      <c r="Y43" s="17">
        <f t="shared" si="23"/>
        <v>6.7384785456196923</v>
      </c>
    </row>
    <row r="44" spans="1:25" x14ac:dyDescent="0.2">
      <c r="A44" s="10" t="s">
        <v>19</v>
      </c>
      <c r="B44" s="16">
        <v>22</v>
      </c>
      <c r="C44" s="16">
        <v>20</v>
      </c>
      <c r="D44" s="16">
        <f t="shared" si="18"/>
        <v>21</v>
      </c>
      <c r="E44" s="10">
        <v>10</v>
      </c>
      <c r="F44" s="10">
        <f>1732.9-1703.8</f>
        <v>29.100000000000136</v>
      </c>
      <c r="G44" s="17">
        <f t="shared" si="19"/>
        <v>5.8583263057480099</v>
      </c>
      <c r="J44" s="10" t="s">
        <v>19</v>
      </c>
      <c r="K44" s="16">
        <v>0</v>
      </c>
      <c r="L44" s="16">
        <v>0</v>
      </c>
      <c r="M44" s="16">
        <f t="shared" si="20"/>
        <v>0</v>
      </c>
      <c r="N44" s="10">
        <v>1</v>
      </c>
      <c r="O44" s="10">
        <f>1833.4-1740.6</f>
        <v>92.800000000000182</v>
      </c>
      <c r="P44" s="17" t="e">
        <f t="shared" si="21"/>
        <v>#NUM!</v>
      </c>
      <c r="S44" s="10" t="s">
        <v>19</v>
      </c>
      <c r="T44" s="16">
        <v>8</v>
      </c>
      <c r="U44" s="16">
        <v>16</v>
      </c>
      <c r="V44" s="16">
        <f t="shared" si="22"/>
        <v>12</v>
      </c>
      <c r="W44" s="15">
        <v>100</v>
      </c>
      <c r="X44" s="15">
        <f>1776.5-1666.8</f>
        <v>109.70000000000005</v>
      </c>
      <c r="Y44" s="17">
        <f t="shared" si="23"/>
        <v>6.0389746184729134</v>
      </c>
    </row>
    <row r="45" spans="1:25" x14ac:dyDescent="0.2">
      <c r="A45" s="10" t="s">
        <v>20</v>
      </c>
      <c r="B45" s="16">
        <v>29</v>
      </c>
      <c r="C45" s="16">
        <v>24</v>
      </c>
      <c r="D45" s="16">
        <f t="shared" si="18"/>
        <v>26.5</v>
      </c>
      <c r="E45" s="10">
        <v>1</v>
      </c>
      <c r="F45" s="10">
        <f>1805.2-1736</f>
        <v>69.200000000000045</v>
      </c>
      <c r="G45" s="17">
        <f t="shared" si="19"/>
        <v>4.5831397794800495</v>
      </c>
      <c r="J45" s="10" t="s">
        <v>20</v>
      </c>
      <c r="K45" s="16">
        <v>2</v>
      </c>
      <c r="L45" s="16">
        <v>0</v>
      </c>
      <c r="M45" s="16">
        <f t="shared" si="20"/>
        <v>1</v>
      </c>
      <c r="N45" s="10">
        <v>1</v>
      </c>
      <c r="O45" s="10">
        <f>1821.6-1767.5</f>
        <v>54.099999999999909</v>
      </c>
      <c r="P45" s="17">
        <f t="shared" si="21"/>
        <v>3.2668027348934312</v>
      </c>
      <c r="S45" s="10" t="s">
        <v>20</v>
      </c>
      <c r="T45" s="16">
        <v>15</v>
      </c>
      <c r="U45" s="16">
        <v>9</v>
      </c>
      <c r="V45" s="16">
        <f t="shared" si="22"/>
        <v>12</v>
      </c>
      <c r="W45" s="15">
        <v>1</v>
      </c>
      <c r="X45" s="15">
        <f>1845.5-1770.3</f>
        <v>75.200000000000045</v>
      </c>
      <c r="Y45" s="17">
        <f t="shared" si="23"/>
        <v>4.2029634054559821</v>
      </c>
    </row>
    <row r="46" spans="1:25" x14ac:dyDescent="0.2">
      <c r="A46" s="10" t="s">
        <v>21</v>
      </c>
      <c r="B46" s="16">
        <v>5</v>
      </c>
      <c r="C46" s="16">
        <v>1</v>
      </c>
      <c r="D46" s="16">
        <f t="shared" si="18"/>
        <v>3</v>
      </c>
      <c r="E46" s="10">
        <v>1</v>
      </c>
      <c r="F46" s="10">
        <f>1757.9-1733.1</f>
        <v>24.800000000000182</v>
      </c>
      <c r="G46" s="17">
        <f t="shared" si="19"/>
        <v>4.0826695738934431</v>
      </c>
      <c r="J46" s="10" t="s">
        <v>21</v>
      </c>
      <c r="K46" s="16">
        <v>0</v>
      </c>
      <c r="L46" s="16">
        <v>0</v>
      </c>
      <c r="M46" s="16">
        <f t="shared" si="20"/>
        <v>0</v>
      </c>
      <c r="N46" s="10">
        <v>1</v>
      </c>
      <c r="O46" s="10">
        <f>1886.4-1741.7</f>
        <v>144.70000000000005</v>
      </c>
      <c r="P46" s="17" t="e">
        <f t="shared" si="21"/>
        <v>#NUM!</v>
      </c>
      <c r="S46" s="10" t="s">
        <v>21</v>
      </c>
      <c r="T46" s="16">
        <v>1</v>
      </c>
      <c r="U46" s="16">
        <v>0</v>
      </c>
      <c r="V46" s="16">
        <f t="shared" si="22"/>
        <v>0.5</v>
      </c>
      <c r="W46" s="15">
        <v>1</v>
      </c>
      <c r="X46" s="15">
        <f>1917-1885.2</f>
        <v>31.799999999999955</v>
      </c>
      <c r="Y46" s="17">
        <f t="shared" si="23"/>
        <v>3.1965428843515866</v>
      </c>
    </row>
    <row r="47" spans="1:25" x14ac:dyDescent="0.2">
      <c r="A47" s="10"/>
      <c r="D47" s="16"/>
      <c r="G47" s="17"/>
      <c r="J47" s="10"/>
      <c r="M47" s="16"/>
      <c r="P47" s="17"/>
      <c r="S47" s="10"/>
      <c r="T47" s="16"/>
      <c r="U47" s="16"/>
      <c r="V47" s="16"/>
      <c r="W47" s="15"/>
      <c r="X47" s="15"/>
      <c r="Y47" s="17"/>
    </row>
    <row r="48" spans="1:25" x14ac:dyDescent="0.2">
      <c r="S48" s="16"/>
      <c r="T48" s="16"/>
      <c r="U48" s="16"/>
      <c r="V48" s="16"/>
      <c r="W48" s="15"/>
      <c r="X48" s="15"/>
      <c r="Y48" s="17"/>
    </row>
    <row r="49" spans="1:25" ht="51" x14ac:dyDescent="0.2">
      <c r="A49" s="7" t="s">
        <v>34</v>
      </c>
      <c r="B49" s="25" t="s">
        <v>7</v>
      </c>
      <c r="C49" s="25"/>
      <c r="D49" s="13" t="s">
        <v>8</v>
      </c>
      <c r="E49" s="13" t="s">
        <v>9</v>
      </c>
      <c r="F49" s="13" t="s">
        <v>10</v>
      </c>
      <c r="G49" s="14" t="s">
        <v>11</v>
      </c>
      <c r="J49" s="12" t="s">
        <v>35</v>
      </c>
      <c r="K49" s="25" t="s">
        <v>7</v>
      </c>
      <c r="L49" s="25"/>
      <c r="M49" s="13" t="s">
        <v>8</v>
      </c>
      <c r="N49" s="13" t="s">
        <v>9</v>
      </c>
      <c r="O49" s="13" t="s">
        <v>10</v>
      </c>
      <c r="P49" s="14" t="s">
        <v>11</v>
      </c>
      <c r="S49" s="12" t="s">
        <v>36</v>
      </c>
      <c r="T49" s="25" t="s">
        <v>7</v>
      </c>
      <c r="U49" s="25"/>
      <c r="V49" s="13" t="s">
        <v>8</v>
      </c>
      <c r="W49" s="13" t="s">
        <v>9</v>
      </c>
      <c r="X49" s="13" t="s">
        <v>10</v>
      </c>
      <c r="Y49" s="14" t="s">
        <v>11</v>
      </c>
    </row>
    <row r="50" spans="1:25" x14ac:dyDescent="0.2">
      <c r="A50" s="10" t="s">
        <v>14</v>
      </c>
      <c r="B50" s="16">
        <v>26</v>
      </c>
      <c r="C50" s="16">
        <v>14</v>
      </c>
      <c r="D50" s="16">
        <f>AVERAGE(B50:C50)</f>
        <v>20</v>
      </c>
      <c r="E50" s="15">
        <v>1</v>
      </c>
      <c r="F50" s="15">
        <f>1685-1600.5</f>
        <v>84.5</v>
      </c>
      <c r="G50" s="17">
        <f>LOG10(D50*100*E50/F50*1000)</f>
        <v>4.3741732867142886</v>
      </c>
      <c r="J50" s="10" t="s">
        <v>14</v>
      </c>
      <c r="K50" s="16">
        <v>38</v>
      </c>
      <c r="L50" s="16">
        <v>40</v>
      </c>
      <c r="M50" s="16">
        <f>AVERAGE(K50:L50)</f>
        <v>39</v>
      </c>
      <c r="N50" s="15">
        <v>10</v>
      </c>
      <c r="O50" s="15">
        <f>1746.7-1717.1</f>
        <v>29.600000000000136</v>
      </c>
      <c r="P50" s="17">
        <f>LOG10(M50*100*N50/O50*1000)</f>
        <v>6.119772895967559</v>
      </c>
      <c r="S50" s="10" t="s">
        <v>14</v>
      </c>
      <c r="T50" s="16">
        <v>24</v>
      </c>
      <c r="U50" s="16">
        <v>29</v>
      </c>
      <c r="V50" s="16">
        <f>AVERAGE(T50:U50)</f>
        <v>26.5</v>
      </c>
      <c r="W50" s="15">
        <v>100</v>
      </c>
      <c r="X50" s="15">
        <f>1737.1-1676.6</f>
        <v>60.5</v>
      </c>
      <c r="Y50" s="17">
        <f>LOG10(V50*100*W50/X50*1000)</f>
        <v>6.6414904992843393</v>
      </c>
    </row>
    <row r="51" spans="1:25" x14ac:dyDescent="0.2">
      <c r="A51" s="10" t="s">
        <v>15</v>
      </c>
      <c r="B51" s="16">
        <v>3</v>
      </c>
      <c r="C51" s="16">
        <v>9</v>
      </c>
      <c r="D51" s="16">
        <f t="shared" ref="D51:D58" si="24">AVERAGE(B51:C51)</f>
        <v>6</v>
      </c>
      <c r="E51" s="15">
        <v>1</v>
      </c>
      <c r="F51" s="15">
        <f>1823.2-1743.2</f>
        <v>80</v>
      </c>
      <c r="G51" s="17">
        <f t="shared" ref="G51:G58" si="25">LOG10(D51*100*E51/F51*1000)</f>
        <v>3.8750612633917001</v>
      </c>
      <c r="J51" s="10" t="s">
        <v>15</v>
      </c>
      <c r="K51" s="16">
        <v>8</v>
      </c>
      <c r="L51" s="16">
        <v>14</v>
      </c>
      <c r="M51" s="16">
        <f t="shared" ref="M51:M58" si="26">AVERAGE(K51:L51)</f>
        <v>11</v>
      </c>
      <c r="N51" s="15">
        <v>10</v>
      </c>
      <c r="O51" s="15">
        <f>1713.5-1648</f>
        <v>65.5</v>
      </c>
      <c r="P51" s="17">
        <f t="shared" ref="P51:P58" si="27">LOG10(M51*100*N51/O51*1000)</f>
        <v>5.2251513851664422</v>
      </c>
      <c r="S51" s="10" t="s">
        <v>15</v>
      </c>
      <c r="T51" s="16">
        <v>16</v>
      </c>
      <c r="U51" s="16">
        <v>9</v>
      </c>
      <c r="V51" s="16">
        <f t="shared" ref="V51:V58" si="28">AVERAGE(T51:U51)</f>
        <v>12.5</v>
      </c>
      <c r="W51" s="15">
        <v>10</v>
      </c>
      <c r="X51" s="15">
        <f>1764.6-1749.4</f>
        <v>15.199999999999818</v>
      </c>
      <c r="Y51" s="17">
        <f t="shared" ref="Y51:Y58" si="29">LOG10(V51*100*W51/X51*1000)</f>
        <v>5.9150664250632889</v>
      </c>
    </row>
    <row r="52" spans="1:25" x14ac:dyDescent="0.2">
      <c r="A52" s="10" t="s">
        <v>12</v>
      </c>
      <c r="B52" s="16">
        <v>1</v>
      </c>
      <c r="C52" s="16">
        <v>0</v>
      </c>
      <c r="D52" s="16">
        <f t="shared" si="24"/>
        <v>0.5</v>
      </c>
      <c r="E52" s="15">
        <v>1</v>
      </c>
      <c r="F52" s="15">
        <f>1729-1712.4</f>
        <v>16.599999999999909</v>
      </c>
      <c r="G52" s="17">
        <f t="shared" si="25"/>
        <v>3.478861916295966</v>
      </c>
      <c r="J52" s="10" t="s">
        <v>12</v>
      </c>
      <c r="K52" s="16">
        <v>16</v>
      </c>
      <c r="L52" s="16">
        <v>26</v>
      </c>
      <c r="M52" s="16">
        <f t="shared" si="26"/>
        <v>21</v>
      </c>
      <c r="N52" s="15">
        <v>100</v>
      </c>
      <c r="O52" s="15">
        <f>1693.3-1657.8</f>
        <v>35.5</v>
      </c>
      <c r="P52" s="17">
        <f t="shared" si="27"/>
        <v>6.7719909416788253</v>
      </c>
      <c r="S52" s="10" t="s">
        <v>12</v>
      </c>
      <c r="T52" s="16">
        <v>24</v>
      </c>
      <c r="U52" s="16">
        <v>18</v>
      </c>
      <c r="V52" s="16">
        <f t="shared" si="28"/>
        <v>21</v>
      </c>
      <c r="W52" s="15">
        <v>100</v>
      </c>
      <c r="X52" s="15">
        <f>1762-1708.4</f>
        <v>53.599999999999909</v>
      </c>
      <c r="Y52" s="17">
        <f t="shared" si="29"/>
        <v>6.5930545050411498</v>
      </c>
    </row>
    <row r="53" spans="1:25" x14ac:dyDescent="0.2">
      <c r="A53" s="10" t="s">
        <v>17</v>
      </c>
      <c r="B53" s="16">
        <v>8</v>
      </c>
      <c r="C53" s="16">
        <v>13</v>
      </c>
      <c r="D53" s="16">
        <f t="shared" si="24"/>
        <v>10.5</v>
      </c>
      <c r="E53" s="15">
        <v>1</v>
      </c>
      <c r="F53" s="15">
        <f>1700.4-1670.7</f>
        <v>29.700000000000045</v>
      </c>
      <c r="G53" s="17">
        <f t="shared" si="25"/>
        <v>4.5484328497527251</v>
      </c>
      <c r="J53" s="10" t="s">
        <v>17</v>
      </c>
      <c r="K53" s="16">
        <v>32</v>
      </c>
      <c r="L53" s="16">
        <v>31</v>
      </c>
      <c r="M53" s="16">
        <f t="shared" si="26"/>
        <v>31.5</v>
      </c>
      <c r="N53" s="15">
        <v>100</v>
      </c>
      <c r="O53" s="15">
        <f>1798.5-1683.5</f>
        <v>115</v>
      </c>
      <c r="P53" s="17">
        <f t="shared" si="27"/>
        <v>6.4376127134359891</v>
      </c>
      <c r="S53" s="10" t="s">
        <v>17</v>
      </c>
      <c r="T53" s="16">
        <v>30</v>
      </c>
      <c r="U53" s="16">
        <v>26</v>
      </c>
      <c r="V53" s="16">
        <f t="shared" si="28"/>
        <v>28</v>
      </c>
      <c r="W53" s="15">
        <v>1000</v>
      </c>
      <c r="X53" s="15">
        <f>1743.7-1719.1</f>
        <v>24.600000000000136</v>
      </c>
      <c r="Y53" s="17">
        <f t="shared" si="29"/>
        <v>8.0562229242388383</v>
      </c>
    </row>
    <row r="54" spans="1:25" x14ac:dyDescent="0.2">
      <c r="A54" s="10" t="s">
        <v>13</v>
      </c>
      <c r="B54" s="16">
        <v>21</v>
      </c>
      <c r="C54" s="16">
        <v>23</v>
      </c>
      <c r="D54" s="16">
        <f t="shared" si="24"/>
        <v>22</v>
      </c>
      <c r="E54" s="10">
        <v>1</v>
      </c>
      <c r="F54" s="10">
        <f>1740.6-1704.9</f>
        <v>35.699999999999818</v>
      </c>
      <c r="G54" s="17">
        <f t="shared" si="25"/>
        <v>4.7897544647100156</v>
      </c>
      <c r="J54" s="10" t="s">
        <v>13</v>
      </c>
      <c r="K54">
        <v>4</v>
      </c>
      <c r="L54">
        <v>8</v>
      </c>
      <c r="M54" s="16">
        <f t="shared" si="26"/>
        <v>6</v>
      </c>
      <c r="N54" s="10">
        <v>100</v>
      </c>
      <c r="O54" s="10">
        <f>1917.6-1729.5</f>
        <v>188.09999999999991</v>
      </c>
      <c r="P54" s="17">
        <f t="shared" si="27"/>
        <v>5.5037624548332653</v>
      </c>
      <c r="S54" s="10" t="s">
        <v>13</v>
      </c>
      <c r="T54" s="16">
        <v>23</v>
      </c>
      <c r="U54" s="16">
        <v>40</v>
      </c>
      <c r="V54" s="16">
        <f t="shared" si="28"/>
        <v>31.5</v>
      </c>
      <c r="W54" s="10">
        <v>100</v>
      </c>
      <c r="X54" s="10">
        <f>1638.3-1612.2</f>
        <v>26.099999999999909</v>
      </c>
      <c r="Y54" s="17">
        <f t="shared" si="29"/>
        <v>7.0816700464513209</v>
      </c>
    </row>
    <row r="55" spans="1:25" x14ac:dyDescent="0.2">
      <c r="A55" s="10" t="s">
        <v>18</v>
      </c>
      <c r="B55" s="16">
        <v>22</v>
      </c>
      <c r="C55" s="16">
        <v>27</v>
      </c>
      <c r="D55" s="16">
        <f t="shared" si="24"/>
        <v>24.5</v>
      </c>
      <c r="E55" s="10">
        <v>10</v>
      </c>
      <c r="F55" s="10">
        <f>1742.2-1716.1</f>
        <v>26.100000000000136</v>
      </c>
      <c r="G55" s="17">
        <f t="shared" si="25"/>
        <v>5.9725255770262491</v>
      </c>
      <c r="J55" s="10" t="s">
        <v>18</v>
      </c>
      <c r="K55" s="16">
        <v>12</v>
      </c>
      <c r="L55" s="16">
        <v>8</v>
      </c>
      <c r="M55" s="16">
        <f t="shared" si="26"/>
        <v>10</v>
      </c>
      <c r="N55" s="10">
        <v>1</v>
      </c>
      <c r="O55" s="10">
        <f>1914.6-1831.8</f>
        <v>82.799999999999955</v>
      </c>
      <c r="P55" s="17">
        <f t="shared" si="27"/>
        <v>4.0819696632151201</v>
      </c>
      <c r="S55" s="10" t="s">
        <v>18</v>
      </c>
      <c r="T55" s="16">
        <v>17</v>
      </c>
      <c r="U55" s="16">
        <v>7</v>
      </c>
      <c r="V55" s="16">
        <f t="shared" si="28"/>
        <v>12</v>
      </c>
      <c r="W55" s="10">
        <v>100</v>
      </c>
      <c r="X55" s="10">
        <f>1703.5-1662.2</f>
        <v>41.299999999999955</v>
      </c>
      <c r="Y55" s="17">
        <f t="shared" si="29"/>
        <v>6.4632311943912244</v>
      </c>
    </row>
    <row r="56" spans="1:25" x14ac:dyDescent="0.2">
      <c r="A56" s="10" t="s">
        <v>19</v>
      </c>
      <c r="B56" s="16">
        <v>17</v>
      </c>
      <c r="C56" s="16">
        <v>17</v>
      </c>
      <c r="D56" s="16">
        <f t="shared" si="24"/>
        <v>17</v>
      </c>
      <c r="E56" s="10">
        <v>100</v>
      </c>
      <c r="F56" s="10">
        <f>1861.5-1785.4</f>
        <v>76.099999999999909</v>
      </c>
      <c r="G56" s="17">
        <f t="shared" si="25"/>
        <v>6.3490642646077013</v>
      </c>
      <c r="J56" s="10" t="s">
        <v>19</v>
      </c>
      <c r="K56" s="16">
        <v>1</v>
      </c>
      <c r="L56" s="16">
        <v>0</v>
      </c>
      <c r="M56" s="16">
        <f t="shared" si="26"/>
        <v>0.5</v>
      </c>
      <c r="N56" s="10">
        <v>1</v>
      </c>
      <c r="O56" s="10">
        <f>1689.1-1645.1</f>
        <v>44</v>
      </c>
      <c r="P56" s="17">
        <f t="shared" si="27"/>
        <v>3.0555173278498313</v>
      </c>
      <c r="S56" s="10" t="s">
        <v>19</v>
      </c>
      <c r="T56" s="16">
        <v>36</v>
      </c>
      <c r="U56" s="16">
        <v>33</v>
      </c>
      <c r="V56" s="16">
        <f t="shared" si="28"/>
        <v>34.5</v>
      </c>
      <c r="W56" s="10">
        <v>1</v>
      </c>
      <c r="X56" s="10">
        <f>1717-1610.8</f>
        <v>106.20000000000005</v>
      </c>
      <c r="Y56" s="17">
        <f t="shared" si="29"/>
        <v>4.5116945783278242</v>
      </c>
    </row>
    <row r="57" spans="1:25" x14ac:dyDescent="0.2">
      <c r="A57" s="10" t="s">
        <v>20</v>
      </c>
      <c r="B57" s="16">
        <v>0</v>
      </c>
      <c r="C57" s="16">
        <v>2</v>
      </c>
      <c r="D57" s="16">
        <f t="shared" si="24"/>
        <v>1</v>
      </c>
      <c r="E57" s="10">
        <v>1</v>
      </c>
      <c r="F57" s="10">
        <f>1896.5-1840</f>
        <v>56.5</v>
      </c>
      <c r="G57" s="17">
        <f t="shared" si="25"/>
        <v>3.2479515521805613</v>
      </c>
      <c r="J57" s="10" t="s">
        <v>20</v>
      </c>
      <c r="K57" s="16">
        <v>0</v>
      </c>
      <c r="L57" s="16">
        <v>0</v>
      </c>
      <c r="M57" s="16">
        <f t="shared" si="26"/>
        <v>0</v>
      </c>
      <c r="N57" s="10">
        <v>1</v>
      </c>
      <c r="O57" s="10">
        <f>1697-1671.8</f>
        <v>25.200000000000045</v>
      </c>
      <c r="P57" s="17" t="e">
        <f t="shared" si="27"/>
        <v>#NUM!</v>
      </c>
      <c r="S57" s="10" t="s">
        <v>20</v>
      </c>
      <c r="T57" s="16">
        <v>0</v>
      </c>
      <c r="U57" s="16">
        <v>0</v>
      </c>
      <c r="V57" s="16">
        <f t="shared" si="28"/>
        <v>0</v>
      </c>
      <c r="W57" s="10">
        <v>1</v>
      </c>
      <c r="X57" s="10">
        <f>1767.5-1729.8</f>
        <v>37.700000000000045</v>
      </c>
      <c r="Y57" s="11" t="e">
        <f t="shared" si="29"/>
        <v>#NUM!</v>
      </c>
    </row>
    <row r="58" spans="1:25" x14ac:dyDescent="0.2">
      <c r="A58" s="10" t="s">
        <v>21</v>
      </c>
      <c r="B58" s="16">
        <v>0</v>
      </c>
      <c r="C58" s="16">
        <v>0</v>
      </c>
      <c r="D58" s="16">
        <f t="shared" si="24"/>
        <v>0</v>
      </c>
      <c r="E58" s="10">
        <v>1</v>
      </c>
      <c r="F58" s="10">
        <f>1838.8-1776.1</f>
        <v>62.700000000000045</v>
      </c>
      <c r="G58" s="17" t="e">
        <f t="shared" si="25"/>
        <v>#NUM!</v>
      </c>
      <c r="J58" s="10" t="s">
        <v>21</v>
      </c>
      <c r="K58" s="16">
        <v>0</v>
      </c>
      <c r="L58" s="16">
        <v>0</v>
      </c>
      <c r="M58" s="16">
        <f t="shared" si="26"/>
        <v>0</v>
      </c>
      <c r="N58" s="10">
        <v>1</v>
      </c>
      <c r="O58" s="10">
        <f>1892-1711.9</f>
        <v>180.09999999999991</v>
      </c>
      <c r="P58" s="17" t="e">
        <f t="shared" si="27"/>
        <v>#NUM!</v>
      </c>
      <c r="S58" s="10" t="s">
        <v>21</v>
      </c>
      <c r="T58" s="16">
        <v>0</v>
      </c>
      <c r="U58" s="16">
        <v>0</v>
      </c>
      <c r="V58" s="16">
        <f t="shared" si="28"/>
        <v>0</v>
      </c>
      <c r="W58" s="10">
        <v>1</v>
      </c>
      <c r="X58" s="10">
        <f>1883.5-1761.3</f>
        <v>122.20000000000005</v>
      </c>
      <c r="Y58" s="11" t="e">
        <f t="shared" si="29"/>
        <v>#NUM!</v>
      </c>
    </row>
  </sheetData>
  <mergeCells count="15">
    <mergeCell ref="K1:L1"/>
    <mergeCell ref="K13:L13"/>
    <mergeCell ref="K25:L25"/>
    <mergeCell ref="K37:L37"/>
    <mergeCell ref="K49:L49"/>
    <mergeCell ref="B1:C1"/>
    <mergeCell ref="B13:C13"/>
    <mergeCell ref="B25:C25"/>
    <mergeCell ref="B37:C37"/>
    <mergeCell ref="B49:C49"/>
    <mergeCell ref="T1:U1"/>
    <mergeCell ref="T13:U13"/>
    <mergeCell ref="T25:U25"/>
    <mergeCell ref="T37:U37"/>
    <mergeCell ref="T49:U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post ttmt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2022-03-03T21:45:36Z</dcterms:created>
  <dcterms:modified xsi:type="dcterms:W3CDTF">2022-04-11T17:03:35Z</dcterms:modified>
</cp:coreProperties>
</file>