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ne/Library/Mobile Documents/com~apple~CloudDocs/Documents/DGP/Hauser lab/Results/2022/Mouse experiments/"/>
    </mc:Choice>
  </mc:AlternateContent>
  <xr:revisionPtr revIDLastSave="0" documentId="13_ncr:1_{17D80FB7-EE87-4748-90DF-D2B4ED364ADE}" xr6:coauthVersionLast="47" xr6:coauthVersionMax="47" xr10:uidLastSave="{00000000-0000-0000-0000-000000000000}"/>
  <bookViews>
    <workbookView xWindow="30420" yWindow="700" windowWidth="28800" windowHeight="17500" activeTab="1" xr2:uid="{A02BBCDD-A619-1E4A-8198-3C615694A07D}"/>
  </bookViews>
  <sheets>
    <sheet name="dose" sheetId="1" r:id="rId1"/>
    <sheet name="feces post ttmt - PA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38" i="2" l="1"/>
  <c r="O38" i="2"/>
  <c r="M38" i="2"/>
  <c r="P30" i="2"/>
  <c r="O30" i="2"/>
  <c r="M30" i="2"/>
  <c r="P22" i="2"/>
  <c r="O22" i="2"/>
  <c r="M22" i="2"/>
  <c r="P14" i="2"/>
  <c r="O14" i="2"/>
  <c r="M14" i="2"/>
  <c r="P6" i="2"/>
  <c r="O6" i="2"/>
  <c r="M6" i="2"/>
  <c r="F38" i="2"/>
  <c r="D38" i="2"/>
  <c r="G38" i="2" s="1"/>
  <c r="F30" i="2"/>
  <c r="D30" i="2"/>
  <c r="G30" i="2" s="1"/>
  <c r="F14" i="2"/>
  <c r="D14" i="2"/>
  <c r="G14" i="2" s="1"/>
  <c r="F6" i="2"/>
  <c r="D6" i="2"/>
  <c r="G6" i="2" s="1"/>
  <c r="O37" i="2"/>
  <c r="O36" i="2"/>
  <c r="O35" i="2"/>
  <c r="O34" i="2"/>
  <c r="O29" i="2"/>
  <c r="O28" i="2"/>
  <c r="O27" i="2"/>
  <c r="O26" i="2"/>
  <c r="O21" i="2"/>
  <c r="O20" i="2"/>
  <c r="O19" i="2"/>
  <c r="O18" i="2"/>
  <c r="O5" i="2"/>
  <c r="O13" i="2"/>
  <c r="O12" i="2"/>
  <c r="O11" i="2"/>
  <c r="O10" i="2"/>
  <c r="O4" i="2"/>
  <c r="O3" i="2"/>
  <c r="D5" i="1"/>
  <c r="D4" i="1"/>
  <c r="F2" i="2"/>
  <c r="F3" i="2"/>
  <c r="F4" i="2"/>
  <c r="F5" i="2"/>
  <c r="F10" i="2"/>
  <c r="F11" i="2"/>
  <c r="F12" i="2"/>
  <c r="F13" i="2"/>
  <c r="F18" i="2"/>
  <c r="F19" i="2"/>
  <c r="F20" i="2"/>
  <c r="F21" i="2"/>
  <c r="F26" i="2"/>
  <c r="F27" i="2"/>
  <c r="F28" i="2"/>
  <c r="F29" i="2"/>
  <c r="F34" i="2"/>
  <c r="F35" i="2"/>
  <c r="F36" i="2"/>
  <c r="F37" i="2"/>
  <c r="M37" i="2"/>
  <c r="M29" i="2"/>
  <c r="M21" i="2"/>
  <c r="M13" i="2"/>
  <c r="M5" i="2"/>
  <c r="D37" i="2"/>
  <c r="D29" i="2"/>
  <c r="D21" i="2"/>
  <c r="D13" i="2"/>
  <c r="D5" i="2"/>
  <c r="D11" i="2"/>
  <c r="D12" i="2"/>
  <c r="M35" i="2"/>
  <c r="M36" i="2"/>
  <c r="M27" i="2"/>
  <c r="M28" i="2"/>
  <c r="P28" i="2" s="1"/>
  <c r="M19" i="2"/>
  <c r="M20" i="2"/>
  <c r="M11" i="2"/>
  <c r="M12" i="2"/>
  <c r="M3" i="2"/>
  <c r="M4" i="2"/>
  <c r="D35" i="2"/>
  <c r="D36" i="2"/>
  <c r="D27" i="2"/>
  <c r="D28" i="2"/>
  <c r="D19" i="2"/>
  <c r="D20" i="2"/>
  <c r="D3" i="2"/>
  <c r="D4" i="2"/>
  <c r="E4" i="1" l="1"/>
  <c r="F4" i="1" s="1"/>
  <c r="P4" i="2"/>
  <c r="G3" i="2"/>
  <c r="G4" i="2"/>
  <c r="P12" i="2"/>
  <c r="P36" i="2"/>
  <c r="G28" i="2"/>
  <c r="P20" i="2"/>
  <c r="G5" i="2"/>
  <c r="P13" i="2"/>
  <c r="P21" i="2"/>
  <c r="P29" i="2"/>
  <c r="P37" i="2"/>
  <c r="G13" i="2"/>
  <c r="G29" i="2"/>
  <c r="G37" i="2"/>
  <c r="P5" i="2"/>
  <c r="G36" i="2"/>
  <c r="G19" i="2"/>
  <c r="G20" i="2"/>
  <c r="G21" i="2"/>
  <c r="G12" i="2"/>
  <c r="G27" i="2"/>
  <c r="P19" i="2"/>
  <c r="P35" i="2"/>
  <c r="P3" i="2"/>
  <c r="G11" i="2"/>
  <c r="P27" i="2"/>
  <c r="P11" i="2"/>
  <c r="G35" i="2"/>
  <c r="M34" i="2"/>
  <c r="M26" i="2"/>
  <c r="M18" i="2"/>
  <c r="D34" i="2"/>
  <c r="D26" i="2"/>
  <c r="G26" i="2" s="1"/>
  <c r="D18" i="2"/>
  <c r="M10" i="2"/>
  <c r="M2" i="2"/>
  <c r="D10" i="2"/>
  <c r="D2" i="2"/>
  <c r="D3" i="1"/>
  <c r="D2" i="1"/>
  <c r="E2" i="1" l="1"/>
  <c r="F2" i="1" s="1"/>
  <c r="G34" i="2"/>
  <c r="G18" i="2"/>
  <c r="P18" i="2"/>
  <c r="P26" i="2"/>
  <c r="P34" i="2"/>
  <c r="G2" i="2"/>
  <c r="P10" i="2"/>
  <c r="G10" i="2"/>
</calcChain>
</file>

<file path=xl/sharedStrings.xml><?xml version="1.0" encoding="utf-8"?>
<sst xmlns="http://schemas.openxmlformats.org/spreadsheetml/2006/main" count="119" uniqueCount="29">
  <si>
    <t>Colony Count</t>
  </si>
  <si>
    <t>Dilution Factor</t>
  </si>
  <si>
    <t>CFUs/50uL</t>
  </si>
  <si>
    <t>Average CFUs</t>
  </si>
  <si>
    <t>Log CFUs</t>
  </si>
  <si>
    <t>OD reached</t>
  </si>
  <si>
    <t>BL048 10^6 LB (LB irg5 plates)</t>
  </si>
  <si>
    <t>number of CFU (not diluted)</t>
  </si>
  <si>
    <t>mean in 10 µL</t>
  </si>
  <si>
    <t>Dilution factor</t>
  </si>
  <si>
    <t>feces weights (mg)</t>
  </si>
  <si>
    <t>Log10 CFU/g of feces</t>
  </si>
  <si>
    <t>day 3</t>
  </si>
  <si>
    <t>day 5</t>
  </si>
  <si>
    <t>day 7</t>
  </si>
  <si>
    <t>day 10</t>
  </si>
  <si>
    <t>day 14</t>
  </si>
  <si>
    <t>BL048 10^5.6 Vanco 5+2 mouse 1</t>
  </si>
  <si>
    <t>BL048 10^5.6 Vanco 5+2 mouse 2</t>
  </si>
  <si>
    <t>BL048 10^5.6 Vanco 5+2 mouse 3</t>
  </si>
  <si>
    <t>BL048 10^5.6 Vanco 5+2 mouse 4</t>
  </si>
  <si>
    <t>BL048 10^5.6 Vanco 5+2 mouse 5</t>
  </si>
  <si>
    <t>BL004 10^6 LB (LB irg5 plates)</t>
  </si>
  <si>
    <t>BL004 10^5.5 Vanco 5+2 mouse 1</t>
  </si>
  <si>
    <t>BL004 10^5.5 Vanco 5+2 mouse 2</t>
  </si>
  <si>
    <t>BL004 10^5.5 Vanco 5+2 mouse 3</t>
  </si>
  <si>
    <t>BL004 10^5.5 Vanco 5+2 mouse 4</t>
  </si>
  <si>
    <t>BL004 10^5.5 Vanco 5+2 mouse 5</t>
  </si>
  <si>
    <t>didn't poop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</si>
</sst>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Verdana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AEA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2" xfId="0" applyBorder="1"/>
    <xf numFmtId="11" fontId="0" fillId="0" borderId="2" xfId="0" applyNumberFormat="1" applyBorder="1" applyAlignment="1">
      <alignment horizontal="center" vertical="center"/>
    </xf>
    <xf numFmtId="0" fontId="0" fillId="0" borderId="5" xfId="0" applyBorder="1"/>
    <xf numFmtId="11" fontId="0" fillId="0" borderId="5" xfId="0" applyNumberForma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65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/>
    </xf>
    <xf numFmtId="165" fontId="0" fillId="0" borderId="0" xfId="0" applyNumberFormat="1"/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5" fontId="4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/>
    <xf numFmtId="165" fontId="4" fillId="0" borderId="0" xfId="0" applyNumberFormat="1" applyFont="1"/>
    <xf numFmtId="11" fontId="0" fillId="0" borderId="2" xfId="0" applyNumberFormat="1" applyBorder="1" applyAlignment="1">
      <alignment horizontal="center" vertical="center"/>
    </xf>
    <xf numFmtId="11" fontId="0" fillId="0" borderId="5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1" fontId="0" fillId="0" borderId="2" xfId="0" applyNumberFormat="1" applyBorder="1" applyAlignment="1">
      <alignment horizontal="center" vertical="center"/>
    </xf>
    <xf numFmtId="11" fontId="0" fillId="0" borderId="5" xfId="0" applyNumberFormat="1" applyBorder="1" applyAlignment="1">
      <alignment horizontal="center" vertical="center"/>
    </xf>
    <xf numFmtId="164" fontId="0" fillId="2" borderId="3" xfId="0" applyNumberFormat="1" applyFill="1" applyBorder="1" applyAlignment="1">
      <alignment horizontal="center" vertical="center"/>
    </xf>
    <xf numFmtId="164" fontId="0" fillId="2" borderId="6" xfId="0" applyNumberForma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EC73FA-5EDE-5943-8B04-88429EFA7FCC}">
  <dimension ref="A1:H5"/>
  <sheetViews>
    <sheetView workbookViewId="0">
      <selection activeCell="H6" sqref="H6"/>
    </sheetView>
  </sheetViews>
  <sheetFormatPr baseColWidth="10" defaultRowHeight="16" x14ac:dyDescent="0.2"/>
  <cols>
    <col min="1" max="1" width="14.1640625" customWidth="1"/>
    <col min="2" max="2" width="15.83203125" customWidth="1"/>
    <col min="3" max="3" width="17.1640625" customWidth="1"/>
    <col min="4" max="4" width="15.5" customWidth="1"/>
    <col min="5" max="5" width="17.6640625" customWidth="1"/>
    <col min="6" max="6" width="13.1640625" customWidth="1"/>
    <col min="8" max="8" width="13.1640625" customWidth="1"/>
  </cols>
  <sheetData>
    <row r="1" spans="1:8" x14ac:dyDescent="0.2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H1" s="2" t="s">
        <v>5</v>
      </c>
    </row>
    <row r="2" spans="1:8" x14ac:dyDescent="0.2">
      <c r="A2" s="20" t="s">
        <v>6</v>
      </c>
      <c r="B2" s="3">
        <v>7</v>
      </c>
      <c r="C2" s="4">
        <v>10000</v>
      </c>
      <c r="D2" s="4">
        <f t="shared" ref="D2:D3" si="0">B2*5*C2</f>
        <v>350000</v>
      </c>
      <c r="E2" s="22">
        <f>AVERAGE(D2:D3)</f>
        <v>400000</v>
      </c>
      <c r="F2" s="24">
        <f>LOG10(E2)</f>
        <v>5.6020599913279625</v>
      </c>
      <c r="H2" s="26">
        <v>0.309</v>
      </c>
    </row>
    <row r="3" spans="1:8" x14ac:dyDescent="0.2">
      <c r="A3" s="21"/>
      <c r="B3" s="5">
        <v>9</v>
      </c>
      <c r="C3" s="6">
        <v>10000</v>
      </c>
      <c r="D3" s="6">
        <f t="shared" si="0"/>
        <v>450000</v>
      </c>
      <c r="E3" s="23"/>
      <c r="F3" s="25"/>
      <c r="H3" s="26"/>
    </row>
    <row r="4" spans="1:8" x14ac:dyDescent="0.2">
      <c r="A4" s="20" t="s">
        <v>22</v>
      </c>
      <c r="B4" s="3">
        <v>8</v>
      </c>
      <c r="C4" s="18">
        <v>10000</v>
      </c>
      <c r="D4" s="18">
        <f t="shared" ref="D4:D5" si="1">B4*5*C4</f>
        <v>400000</v>
      </c>
      <c r="E4" s="22">
        <f>AVERAGE(D4:D5)</f>
        <v>337500</v>
      </c>
      <c r="F4" s="24">
        <f>LOG10(E4)</f>
        <v>5.528273777167044</v>
      </c>
      <c r="H4" s="26">
        <v>0.32</v>
      </c>
    </row>
    <row r="5" spans="1:8" x14ac:dyDescent="0.2">
      <c r="A5" s="21"/>
      <c r="B5" s="5">
        <v>55</v>
      </c>
      <c r="C5" s="19">
        <v>1000</v>
      </c>
      <c r="D5" s="19">
        <f t="shared" si="1"/>
        <v>275000</v>
      </c>
      <c r="E5" s="23"/>
      <c r="F5" s="25"/>
      <c r="H5" s="26"/>
    </row>
  </sheetData>
  <mergeCells count="8">
    <mergeCell ref="A2:A3"/>
    <mergeCell ref="E2:E3"/>
    <mergeCell ref="F2:F3"/>
    <mergeCell ref="H2:H3"/>
    <mergeCell ref="A4:A5"/>
    <mergeCell ref="E4:E5"/>
    <mergeCell ref="F4:F5"/>
    <mergeCell ref="H4:H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DB951B-B55F-1446-A8EF-03DCF9C7B5E4}">
  <dimension ref="A1:Y38"/>
  <sheetViews>
    <sheetView tabSelected="1" topLeftCell="A9" workbookViewId="0">
      <selection activeCell="P37" sqref="P37:P38"/>
    </sheetView>
  </sheetViews>
  <sheetFormatPr baseColWidth="10" defaultRowHeight="16" x14ac:dyDescent="0.2"/>
  <cols>
    <col min="1" max="1" width="13.6640625" customWidth="1"/>
    <col min="5" max="5" width="10.83203125" style="10"/>
    <col min="6" max="6" width="12.5" style="10" customWidth="1"/>
    <col min="7" max="7" width="13.1640625" customWidth="1"/>
    <col min="10" max="10" width="14.83203125" customWidth="1"/>
    <col min="14" max="15" width="10.83203125" style="10"/>
    <col min="19" max="19" width="13.1640625" customWidth="1"/>
    <col min="23" max="24" width="10.83203125" style="10"/>
    <col min="25" max="25" width="10.83203125" style="11"/>
    <col min="30" max="30" width="14.1640625" customWidth="1"/>
  </cols>
  <sheetData>
    <row r="1" spans="1:25" ht="46" customHeight="1" x14ac:dyDescent="0.2">
      <c r="A1" s="7" t="s">
        <v>17</v>
      </c>
      <c r="B1" s="28" t="s">
        <v>7</v>
      </c>
      <c r="C1" s="28"/>
      <c r="D1" s="8" t="s">
        <v>8</v>
      </c>
      <c r="E1" s="8" t="s">
        <v>9</v>
      </c>
      <c r="F1" s="8" t="s">
        <v>10</v>
      </c>
      <c r="G1" s="9" t="s">
        <v>11</v>
      </c>
      <c r="J1" s="7" t="s">
        <v>23</v>
      </c>
      <c r="K1" s="28" t="s">
        <v>7</v>
      </c>
      <c r="L1" s="28"/>
      <c r="M1" s="8" t="s">
        <v>8</v>
      </c>
      <c r="N1" s="8" t="s">
        <v>9</v>
      </c>
      <c r="O1" s="8" t="s">
        <v>10</v>
      </c>
      <c r="P1" s="9" t="s">
        <v>11</v>
      </c>
      <c r="S1" s="7"/>
      <c r="T1" s="27"/>
      <c r="U1" s="27"/>
      <c r="V1" s="13"/>
      <c r="W1" s="13"/>
      <c r="X1" s="13"/>
      <c r="Y1" s="14"/>
    </row>
    <row r="2" spans="1:25" x14ac:dyDescent="0.2">
      <c r="A2" s="10" t="s">
        <v>12</v>
      </c>
      <c r="B2">
        <v>31</v>
      </c>
      <c r="C2">
        <v>32</v>
      </c>
      <c r="D2">
        <f t="shared" ref="D2:D6" si="0">AVERAGE(B2:C2)</f>
        <v>31.5</v>
      </c>
      <c r="E2" s="10">
        <v>100</v>
      </c>
      <c r="F2" s="10">
        <f>1672.6-1644.1</f>
        <v>28.5</v>
      </c>
      <c r="G2" s="11">
        <f t="shared" ref="G2:G6" si="1">LOG10(D2*100*E2/F2*1000)</f>
        <v>7.0434656937810907</v>
      </c>
      <c r="J2" s="10" t="s">
        <v>12</v>
      </c>
      <c r="K2" t="s">
        <v>28</v>
      </c>
      <c r="M2" t="e">
        <f t="shared" ref="M2:M6" si="2">AVERAGE(K2:L2)</f>
        <v>#DIV/0!</v>
      </c>
      <c r="P2" s="11"/>
      <c r="S2" s="10"/>
      <c r="T2" s="16"/>
      <c r="U2" s="16"/>
      <c r="V2" s="16"/>
      <c r="W2" s="15"/>
      <c r="X2" s="15"/>
      <c r="Y2" s="17"/>
    </row>
    <row r="3" spans="1:25" x14ac:dyDescent="0.2">
      <c r="A3" s="10" t="s">
        <v>13</v>
      </c>
      <c r="B3">
        <v>4</v>
      </c>
      <c r="C3">
        <v>5</v>
      </c>
      <c r="D3">
        <f t="shared" si="0"/>
        <v>4.5</v>
      </c>
      <c r="E3" s="10">
        <v>10000</v>
      </c>
      <c r="F3" s="10">
        <f>1752.8-1707.2</f>
        <v>45.599999999999909</v>
      </c>
      <c r="G3" s="11">
        <f t="shared" si="1"/>
        <v>7.9942476711109096</v>
      </c>
      <c r="J3" s="10" t="s">
        <v>13</v>
      </c>
      <c r="K3">
        <v>36</v>
      </c>
      <c r="L3">
        <v>41</v>
      </c>
      <c r="M3">
        <f t="shared" si="2"/>
        <v>38.5</v>
      </c>
      <c r="N3" s="10">
        <v>1000</v>
      </c>
      <c r="O3" s="10">
        <f>1597.2-1577.6</f>
        <v>19.600000000000136</v>
      </c>
      <c r="P3" s="11">
        <f t="shared" ref="P3:P6" si="3">LOG10(M3*100*N3/O3*1000)</f>
        <v>8.2932046581520211</v>
      </c>
      <c r="S3" s="10"/>
      <c r="T3" s="16"/>
      <c r="U3" s="16"/>
      <c r="V3" s="16"/>
      <c r="W3" s="15"/>
      <c r="X3" s="15"/>
      <c r="Y3" s="17"/>
    </row>
    <row r="4" spans="1:25" x14ac:dyDescent="0.2">
      <c r="A4" s="10" t="s">
        <v>14</v>
      </c>
      <c r="B4">
        <v>10</v>
      </c>
      <c r="C4">
        <v>9</v>
      </c>
      <c r="D4">
        <f t="shared" si="0"/>
        <v>9.5</v>
      </c>
      <c r="E4" s="10">
        <v>100</v>
      </c>
      <c r="F4" s="10">
        <f>1802.7-1737.7</f>
        <v>65</v>
      </c>
      <c r="G4" s="11">
        <f t="shared" si="1"/>
        <v>6.1648102486459919</v>
      </c>
      <c r="J4" s="10" t="s">
        <v>14</v>
      </c>
      <c r="K4">
        <v>18</v>
      </c>
      <c r="L4">
        <v>14</v>
      </c>
      <c r="M4">
        <f t="shared" si="2"/>
        <v>16</v>
      </c>
      <c r="N4" s="10">
        <v>1000</v>
      </c>
      <c r="O4" s="10">
        <f>1863.5-1832.3</f>
        <v>31.200000000000045</v>
      </c>
      <c r="P4" s="11">
        <f t="shared" si="3"/>
        <v>7.7099653886374817</v>
      </c>
      <c r="S4" s="10"/>
      <c r="T4" s="16"/>
      <c r="U4" s="16"/>
      <c r="V4" s="16"/>
      <c r="W4" s="15"/>
      <c r="X4" s="15"/>
      <c r="Y4" s="17"/>
    </row>
    <row r="5" spans="1:25" x14ac:dyDescent="0.2">
      <c r="A5" s="10" t="s">
        <v>15</v>
      </c>
      <c r="B5">
        <v>12</v>
      </c>
      <c r="C5">
        <v>6</v>
      </c>
      <c r="D5">
        <f t="shared" si="0"/>
        <v>9</v>
      </c>
      <c r="E5" s="10">
        <v>10</v>
      </c>
      <c r="F5" s="10">
        <f>1771.4-1717.2</f>
        <v>54.200000000000045</v>
      </c>
      <c r="G5" s="11">
        <f t="shared" si="1"/>
        <v>5.2202432229009377</v>
      </c>
      <c r="J5" s="10" t="s">
        <v>15</v>
      </c>
      <c r="K5">
        <v>12</v>
      </c>
      <c r="L5">
        <v>11</v>
      </c>
      <c r="M5">
        <f t="shared" si="2"/>
        <v>11.5</v>
      </c>
      <c r="N5" s="10">
        <v>10</v>
      </c>
      <c r="O5" s="10">
        <f>1689.6-1669.8</f>
        <v>19.799999999999955</v>
      </c>
      <c r="P5" s="11">
        <f t="shared" si="3"/>
        <v>5.7640326500920818</v>
      </c>
      <c r="S5" s="10"/>
      <c r="T5" s="16"/>
      <c r="U5" s="16"/>
      <c r="V5" s="16"/>
      <c r="W5" s="15"/>
      <c r="X5" s="15"/>
      <c r="Y5" s="17"/>
    </row>
    <row r="6" spans="1:25" x14ac:dyDescent="0.2">
      <c r="A6" s="10" t="s">
        <v>16</v>
      </c>
      <c r="B6">
        <v>0</v>
      </c>
      <c r="C6">
        <v>0</v>
      </c>
      <c r="D6">
        <f t="shared" si="0"/>
        <v>0</v>
      </c>
      <c r="E6" s="10">
        <v>1</v>
      </c>
      <c r="F6" s="10">
        <f>1812.7-1713.1</f>
        <v>99.600000000000136</v>
      </c>
      <c r="G6" s="11" t="e">
        <f t="shared" si="1"/>
        <v>#NUM!</v>
      </c>
      <c r="J6" s="10" t="s">
        <v>16</v>
      </c>
      <c r="K6">
        <v>7</v>
      </c>
      <c r="L6">
        <v>8</v>
      </c>
      <c r="M6">
        <f t="shared" si="2"/>
        <v>7.5</v>
      </c>
      <c r="N6" s="10">
        <v>1</v>
      </c>
      <c r="O6" s="10">
        <f>1903.7-1862.1</f>
        <v>41.600000000000136</v>
      </c>
      <c r="P6" s="11">
        <f t="shared" si="3"/>
        <v>4.255967932764956</v>
      </c>
      <c r="S6" s="10"/>
      <c r="T6" s="16"/>
      <c r="U6" s="16"/>
      <c r="V6" s="16"/>
      <c r="W6" s="15"/>
      <c r="X6" s="15"/>
      <c r="Y6" s="17"/>
    </row>
    <row r="7" spans="1:25" x14ac:dyDescent="0.2">
      <c r="A7" s="10"/>
      <c r="G7" s="11"/>
      <c r="J7" s="10"/>
      <c r="P7" s="11"/>
      <c r="S7" s="10"/>
      <c r="T7" s="16"/>
      <c r="U7" s="16"/>
      <c r="V7" s="16"/>
      <c r="W7" s="15"/>
      <c r="X7" s="15"/>
      <c r="Y7" s="17"/>
    </row>
    <row r="8" spans="1:25" x14ac:dyDescent="0.2">
      <c r="S8" s="16"/>
      <c r="T8" s="16"/>
      <c r="U8" s="16"/>
      <c r="V8" s="16"/>
      <c r="W8" s="15"/>
      <c r="X8" s="15"/>
      <c r="Y8" s="17"/>
    </row>
    <row r="9" spans="1:25" ht="51" x14ac:dyDescent="0.2">
      <c r="A9" s="7" t="s">
        <v>18</v>
      </c>
      <c r="B9" s="28" t="s">
        <v>7</v>
      </c>
      <c r="C9" s="28"/>
      <c r="D9" s="8" t="s">
        <v>8</v>
      </c>
      <c r="E9" s="8" t="s">
        <v>9</v>
      </c>
      <c r="F9" s="8" t="s">
        <v>10</v>
      </c>
      <c r="G9" s="9" t="s">
        <v>11</v>
      </c>
      <c r="J9" s="7" t="s">
        <v>24</v>
      </c>
      <c r="K9" s="28" t="s">
        <v>7</v>
      </c>
      <c r="L9" s="28"/>
      <c r="M9" s="8" t="s">
        <v>8</v>
      </c>
      <c r="N9" s="8" t="s">
        <v>9</v>
      </c>
      <c r="O9" s="8" t="s">
        <v>10</v>
      </c>
      <c r="P9" s="9" t="s">
        <v>11</v>
      </c>
      <c r="S9" s="7"/>
      <c r="T9" s="27"/>
      <c r="U9" s="27"/>
      <c r="V9" s="13"/>
      <c r="W9" s="13"/>
      <c r="X9" s="13"/>
      <c r="Y9" s="14"/>
    </row>
    <row r="10" spans="1:25" x14ac:dyDescent="0.2">
      <c r="A10" s="10" t="s">
        <v>12</v>
      </c>
      <c r="B10">
        <v>0</v>
      </c>
      <c r="C10">
        <v>0</v>
      </c>
      <c r="D10">
        <f t="shared" ref="D10:D14" si="4">AVERAGE(B10:C10)</f>
        <v>0</v>
      </c>
      <c r="E10" s="10">
        <v>1</v>
      </c>
      <c r="F10" s="10">
        <f>1671.3-1627.8</f>
        <v>43.5</v>
      </c>
      <c r="G10" s="11" t="e">
        <f t="shared" ref="G10:G14" si="5">LOG10(D10*100*E10/F10*1000)</f>
        <v>#NUM!</v>
      </c>
      <c r="J10" s="10" t="s">
        <v>12</v>
      </c>
      <c r="K10">
        <v>0</v>
      </c>
      <c r="L10">
        <v>0</v>
      </c>
      <c r="M10">
        <f t="shared" ref="M10:M14" si="6">AVERAGE(K10:L10)</f>
        <v>0</v>
      </c>
      <c r="N10" s="10">
        <v>1</v>
      </c>
      <c r="O10" s="10">
        <f>1702.1-1686.6</f>
        <v>15.5</v>
      </c>
      <c r="P10" s="11" t="e">
        <f t="shared" ref="P10:P14" si="7">LOG10(M10*100*N10/O10*1000)</f>
        <v>#NUM!</v>
      </c>
      <c r="S10" s="10"/>
      <c r="T10" s="16"/>
      <c r="U10" s="16"/>
      <c r="V10" s="16"/>
      <c r="W10" s="15"/>
      <c r="X10" s="15"/>
      <c r="Y10" s="17"/>
    </row>
    <row r="11" spans="1:25" x14ac:dyDescent="0.2">
      <c r="A11" s="10" t="s">
        <v>13</v>
      </c>
      <c r="B11">
        <v>13</v>
      </c>
      <c r="C11">
        <v>17</v>
      </c>
      <c r="D11">
        <f t="shared" si="4"/>
        <v>15</v>
      </c>
      <c r="E11" s="10">
        <v>100</v>
      </c>
      <c r="F11" s="10">
        <f>1721.9-1697.2</f>
        <v>24.700000000000045</v>
      </c>
      <c r="G11" s="11">
        <f t="shared" si="5"/>
        <v>6.7833943057960147</v>
      </c>
      <c r="J11" s="10" t="s">
        <v>13</v>
      </c>
      <c r="K11">
        <v>35</v>
      </c>
      <c r="L11">
        <v>35</v>
      </c>
      <c r="M11">
        <f t="shared" si="6"/>
        <v>35</v>
      </c>
      <c r="N11" s="10">
        <v>100</v>
      </c>
      <c r="O11" s="10">
        <f>1684.8-1664</f>
        <v>20.799999999999955</v>
      </c>
      <c r="P11" s="11">
        <f t="shared" si="7"/>
        <v>7.2260047093875146</v>
      </c>
      <c r="S11" s="10"/>
      <c r="T11" s="16"/>
      <c r="U11" s="16"/>
      <c r="V11" s="16"/>
      <c r="W11" s="15"/>
      <c r="X11" s="15"/>
      <c r="Y11" s="17"/>
    </row>
    <row r="12" spans="1:25" x14ac:dyDescent="0.2">
      <c r="A12" s="10" t="s">
        <v>14</v>
      </c>
      <c r="B12">
        <v>44</v>
      </c>
      <c r="C12">
        <v>29</v>
      </c>
      <c r="D12">
        <f t="shared" si="4"/>
        <v>36.5</v>
      </c>
      <c r="E12" s="10">
        <v>10</v>
      </c>
      <c r="F12" s="10">
        <f>1654.9-1626.8</f>
        <v>28.100000000000136</v>
      </c>
      <c r="G12" s="11">
        <f t="shared" si="5"/>
        <v>6.1135865445513931</v>
      </c>
      <c r="J12" s="10" t="s">
        <v>14</v>
      </c>
      <c r="K12">
        <v>21</v>
      </c>
      <c r="L12">
        <v>20</v>
      </c>
      <c r="M12">
        <f t="shared" si="6"/>
        <v>20.5</v>
      </c>
      <c r="N12" s="10">
        <v>100</v>
      </c>
      <c r="O12" s="10">
        <f>1758.4-1728.9</f>
        <v>29.5</v>
      </c>
      <c r="P12" s="11">
        <f t="shared" si="7"/>
        <v>6.8419318450775917</v>
      </c>
      <c r="S12" s="10"/>
      <c r="T12" s="16"/>
      <c r="U12" s="16"/>
      <c r="V12" s="16"/>
      <c r="W12" s="15"/>
      <c r="X12" s="15"/>
      <c r="Y12" s="17"/>
    </row>
    <row r="13" spans="1:25" x14ac:dyDescent="0.2">
      <c r="A13" s="10" t="s">
        <v>15</v>
      </c>
      <c r="B13">
        <v>13</v>
      </c>
      <c r="C13">
        <v>9</v>
      </c>
      <c r="D13">
        <f t="shared" si="4"/>
        <v>11</v>
      </c>
      <c r="E13" s="10">
        <v>1</v>
      </c>
      <c r="F13" s="10">
        <f>1787.2-1760.3</f>
        <v>26.900000000000091</v>
      </c>
      <c r="G13" s="11">
        <f t="shared" si="5"/>
        <v>4.611640405155816</v>
      </c>
      <c r="J13" s="10" t="s">
        <v>15</v>
      </c>
      <c r="K13">
        <v>31</v>
      </c>
      <c r="L13">
        <v>40</v>
      </c>
      <c r="M13">
        <f t="shared" si="6"/>
        <v>35.5</v>
      </c>
      <c r="N13" s="10">
        <v>1</v>
      </c>
      <c r="O13" s="10">
        <f>1759.4-1727.7</f>
        <v>31.700000000000045</v>
      </c>
      <c r="P13" s="11">
        <f t="shared" si="7"/>
        <v>5.0491690908373421</v>
      </c>
      <c r="S13" s="10"/>
      <c r="T13" s="16"/>
      <c r="U13" s="16"/>
      <c r="V13" s="16"/>
      <c r="W13" s="15"/>
      <c r="X13" s="15"/>
      <c r="Y13" s="17"/>
    </row>
    <row r="14" spans="1:25" x14ac:dyDescent="0.2">
      <c r="A14" s="10" t="s">
        <v>16</v>
      </c>
      <c r="B14">
        <v>5</v>
      </c>
      <c r="C14">
        <v>5</v>
      </c>
      <c r="D14">
        <f t="shared" si="4"/>
        <v>5</v>
      </c>
      <c r="E14" s="10">
        <v>1</v>
      </c>
      <c r="F14" s="10">
        <f>1796.2-1712.1</f>
        <v>84.100000000000136</v>
      </c>
      <c r="G14" s="11">
        <f t="shared" si="5"/>
        <v>3.7741740085381061</v>
      </c>
      <c r="J14" s="10" t="s">
        <v>16</v>
      </c>
      <c r="K14">
        <v>10</v>
      </c>
      <c r="L14">
        <v>7</v>
      </c>
      <c r="M14">
        <f t="shared" si="6"/>
        <v>8.5</v>
      </c>
      <c r="N14" s="10">
        <v>1</v>
      </c>
      <c r="O14" s="10">
        <f>1814.9-1684.4</f>
        <v>130.5</v>
      </c>
      <c r="P14" s="11">
        <f t="shared" si="7"/>
        <v>3.8138084140399928</v>
      </c>
      <c r="S14" s="10"/>
      <c r="T14" s="16"/>
      <c r="U14" s="16"/>
      <c r="V14" s="16"/>
      <c r="W14" s="15"/>
      <c r="X14" s="15"/>
      <c r="Y14" s="17"/>
    </row>
    <row r="15" spans="1:25" x14ac:dyDescent="0.2">
      <c r="A15" s="10"/>
      <c r="G15" s="11"/>
      <c r="J15" s="10"/>
      <c r="P15" s="11"/>
      <c r="S15" s="10"/>
      <c r="T15" s="16"/>
      <c r="U15" s="16"/>
      <c r="V15" s="16"/>
      <c r="W15" s="15"/>
      <c r="X15" s="15"/>
      <c r="Y15" s="17"/>
    </row>
    <row r="16" spans="1:25" x14ac:dyDescent="0.2">
      <c r="S16" s="16"/>
      <c r="T16" s="16"/>
      <c r="U16" s="16"/>
      <c r="V16" s="16"/>
      <c r="W16" s="15"/>
      <c r="X16" s="15"/>
      <c r="Y16" s="17"/>
    </row>
    <row r="17" spans="1:25" ht="51" x14ac:dyDescent="0.2">
      <c r="A17" s="7" t="s">
        <v>19</v>
      </c>
      <c r="B17" s="27" t="s">
        <v>7</v>
      </c>
      <c r="C17" s="27"/>
      <c r="D17" s="13" t="s">
        <v>8</v>
      </c>
      <c r="E17" s="13" t="s">
        <v>9</v>
      </c>
      <c r="F17" s="13" t="s">
        <v>10</v>
      </c>
      <c r="G17" s="14" t="s">
        <v>11</v>
      </c>
      <c r="J17" s="12" t="s">
        <v>25</v>
      </c>
      <c r="K17" s="27" t="s">
        <v>7</v>
      </c>
      <c r="L17" s="27"/>
      <c r="M17" s="13" t="s">
        <v>8</v>
      </c>
      <c r="N17" s="13" t="s">
        <v>9</v>
      </c>
      <c r="O17" s="13" t="s">
        <v>10</v>
      </c>
      <c r="P17" s="14" t="s">
        <v>11</v>
      </c>
      <c r="S17" s="7"/>
      <c r="T17" s="27"/>
      <c r="U17" s="27"/>
      <c r="V17" s="13"/>
      <c r="W17" s="13"/>
      <c r="X17" s="13"/>
      <c r="Y17" s="14"/>
    </row>
    <row r="18" spans="1:25" x14ac:dyDescent="0.2">
      <c r="A18" s="10" t="s">
        <v>12</v>
      </c>
      <c r="B18" s="16">
        <v>1</v>
      </c>
      <c r="C18" s="16">
        <v>0</v>
      </c>
      <c r="D18" s="16">
        <f t="shared" ref="D18:D21" si="8">AVERAGE(B18:C18)</f>
        <v>0.5</v>
      </c>
      <c r="E18" s="15">
        <v>1</v>
      </c>
      <c r="F18" s="15">
        <f>1669.4-1647.3</f>
        <v>22.100000000000136</v>
      </c>
      <c r="G18" s="17">
        <f t="shared" ref="G18:G21" si="9">LOG10(D18*100*E18/F18*1000)</f>
        <v>3.3545777306509055</v>
      </c>
      <c r="J18" s="10" t="s">
        <v>12</v>
      </c>
      <c r="K18" s="16">
        <v>4</v>
      </c>
      <c r="L18" s="16">
        <v>5</v>
      </c>
      <c r="M18" s="16">
        <f t="shared" ref="M18:M22" si="10">AVERAGE(K18:L18)</f>
        <v>4.5</v>
      </c>
      <c r="N18" s="15">
        <v>10000</v>
      </c>
      <c r="O18" s="15">
        <f>1752.4-1737.6</f>
        <v>14.800000000000182</v>
      </c>
      <c r="P18" s="17">
        <f>LOG10(M18*100*N18/O18*1000)</f>
        <v>8.4829507983803811</v>
      </c>
      <c r="S18" s="10"/>
      <c r="T18" s="16"/>
      <c r="U18" s="16"/>
      <c r="V18" s="16"/>
      <c r="W18" s="15"/>
      <c r="X18" s="15"/>
      <c r="Y18" s="17"/>
    </row>
    <row r="19" spans="1:25" x14ac:dyDescent="0.2">
      <c r="A19" s="10" t="s">
        <v>13</v>
      </c>
      <c r="B19" s="16">
        <v>2</v>
      </c>
      <c r="C19" s="16">
        <v>2</v>
      </c>
      <c r="D19" s="16">
        <f t="shared" si="8"/>
        <v>2</v>
      </c>
      <c r="E19" s="15">
        <v>1</v>
      </c>
      <c r="F19" s="15">
        <f>1848.4-1762.8</f>
        <v>85.600000000000136</v>
      </c>
      <c r="G19" s="17">
        <f t="shared" si="9"/>
        <v>3.3685562309868273</v>
      </c>
      <c r="J19" s="10" t="s">
        <v>13</v>
      </c>
      <c r="K19" s="16">
        <v>11</v>
      </c>
      <c r="L19" s="16">
        <v>9</v>
      </c>
      <c r="M19" s="16">
        <f t="shared" si="10"/>
        <v>10</v>
      </c>
      <c r="N19" s="15">
        <v>10000</v>
      </c>
      <c r="O19" s="15">
        <f>1706.5-1668.6</f>
        <v>37.900000000000091</v>
      </c>
      <c r="P19" s="17">
        <f t="shared" ref="P19:P22" si="11">LOG10(M19*100*N19/O19*1000)</f>
        <v>8.4213607900319261</v>
      </c>
      <c r="S19" s="10"/>
      <c r="T19" s="16"/>
      <c r="U19" s="16"/>
      <c r="V19" s="16"/>
      <c r="W19" s="15"/>
      <c r="X19" s="15"/>
      <c r="Y19" s="17"/>
    </row>
    <row r="20" spans="1:25" x14ac:dyDescent="0.2">
      <c r="A20" s="10" t="s">
        <v>14</v>
      </c>
      <c r="B20" s="16">
        <v>4</v>
      </c>
      <c r="C20" s="16">
        <v>8</v>
      </c>
      <c r="D20" s="16">
        <f t="shared" si="8"/>
        <v>6</v>
      </c>
      <c r="E20" s="10">
        <v>1</v>
      </c>
      <c r="F20" s="10">
        <f>1808.9-1796.7</f>
        <v>12.200000000000045</v>
      </c>
      <c r="G20" s="17">
        <f t="shared" si="9"/>
        <v>4.6917914197088937</v>
      </c>
      <c r="J20" s="10" t="s">
        <v>14</v>
      </c>
      <c r="K20" s="16">
        <v>5</v>
      </c>
      <c r="L20" s="16">
        <v>6</v>
      </c>
      <c r="M20" s="16">
        <f t="shared" si="10"/>
        <v>5.5</v>
      </c>
      <c r="N20" s="10">
        <v>10000</v>
      </c>
      <c r="O20" s="10">
        <f>1634.1-1593.8</f>
        <v>40.299999999999955</v>
      </c>
      <c r="P20" s="17">
        <f t="shared" si="11"/>
        <v>8.1350576433531341</v>
      </c>
      <c r="S20" s="10"/>
      <c r="T20" s="16"/>
      <c r="U20" s="16"/>
      <c r="V20" s="16"/>
      <c r="W20" s="15"/>
      <c r="X20" s="15"/>
      <c r="Y20" s="17"/>
    </row>
    <row r="21" spans="1:25" x14ac:dyDescent="0.2">
      <c r="A21" s="10" t="s">
        <v>15</v>
      </c>
      <c r="B21" s="16">
        <v>0</v>
      </c>
      <c r="C21" s="16">
        <v>0</v>
      </c>
      <c r="D21" s="16">
        <f t="shared" si="8"/>
        <v>0</v>
      </c>
      <c r="E21" s="10">
        <v>1</v>
      </c>
      <c r="F21" s="10">
        <f>1797.4-1752.7</f>
        <v>44.700000000000045</v>
      </c>
      <c r="G21" s="17" t="e">
        <f t="shared" si="9"/>
        <v>#NUM!</v>
      </c>
      <c r="J21" s="10" t="s">
        <v>15</v>
      </c>
      <c r="K21" s="16">
        <v>5</v>
      </c>
      <c r="L21" s="16">
        <v>11</v>
      </c>
      <c r="M21" s="16">
        <f t="shared" si="10"/>
        <v>8</v>
      </c>
      <c r="N21" s="10">
        <v>1000</v>
      </c>
      <c r="O21" s="10">
        <f>1805.6-1746.2</f>
        <v>59.399999999999864</v>
      </c>
      <c r="P21" s="17">
        <f t="shared" si="11"/>
        <v>7.1293035420107511</v>
      </c>
      <c r="S21" s="10"/>
      <c r="T21" s="16"/>
      <c r="U21" s="16"/>
      <c r="V21" s="16"/>
      <c r="W21" s="15"/>
      <c r="X21" s="15"/>
      <c r="Y21" s="17"/>
    </row>
    <row r="22" spans="1:25" x14ac:dyDescent="0.2">
      <c r="A22" s="10" t="s">
        <v>16</v>
      </c>
      <c r="B22" s="16">
        <v>1</v>
      </c>
      <c r="C22" s="16">
        <v>1</v>
      </c>
      <c r="D22" s="16">
        <v>1</v>
      </c>
      <c r="E22" s="15">
        <v>1</v>
      </c>
      <c r="F22" s="15">
        <v>124.3</v>
      </c>
      <c r="G22" s="17">
        <v>2.9060000000000001</v>
      </c>
      <c r="J22" s="10" t="s">
        <v>16</v>
      </c>
      <c r="K22" s="16">
        <v>22</v>
      </c>
      <c r="L22" s="16">
        <v>13</v>
      </c>
      <c r="M22" s="16">
        <f t="shared" si="10"/>
        <v>17.5</v>
      </c>
      <c r="N22" s="10">
        <v>10</v>
      </c>
      <c r="O22" s="10">
        <f>2056.3-1848.8</f>
        <v>207.50000000000023</v>
      </c>
      <c r="P22" s="17">
        <f t="shared" si="11"/>
        <v>4.9260199476381823</v>
      </c>
      <c r="S22" s="10"/>
      <c r="T22" s="16"/>
      <c r="U22" s="16"/>
      <c r="V22" s="16"/>
      <c r="W22" s="15"/>
      <c r="X22" s="15"/>
      <c r="Y22" s="17"/>
    </row>
    <row r="23" spans="1:25" x14ac:dyDescent="0.2">
      <c r="A23" s="10"/>
      <c r="D23" s="16"/>
      <c r="G23" s="17"/>
      <c r="J23" s="10"/>
      <c r="M23" s="16"/>
      <c r="P23" s="17"/>
      <c r="S23" s="10"/>
      <c r="T23" s="16"/>
      <c r="U23" s="16"/>
      <c r="V23" s="16"/>
      <c r="W23" s="15"/>
      <c r="X23" s="15"/>
      <c r="Y23" s="17"/>
    </row>
    <row r="24" spans="1:25" x14ac:dyDescent="0.2">
      <c r="S24" s="16"/>
      <c r="T24" s="16"/>
      <c r="U24" s="16"/>
      <c r="V24" s="16"/>
      <c r="W24" s="15"/>
      <c r="X24" s="15"/>
      <c r="Y24" s="17"/>
    </row>
    <row r="25" spans="1:25" ht="51" x14ac:dyDescent="0.2">
      <c r="A25" s="7" t="s">
        <v>20</v>
      </c>
      <c r="B25" s="27" t="s">
        <v>7</v>
      </c>
      <c r="C25" s="27"/>
      <c r="D25" s="13" t="s">
        <v>8</v>
      </c>
      <c r="E25" s="13" t="s">
        <v>9</v>
      </c>
      <c r="F25" s="13" t="s">
        <v>10</v>
      </c>
      <c r="G25" s="14" t="s">
        <v>11</v>
      </c>
      <c r="J25" s="12" t="s">
        <v>26</v>
      </c>
      <c r="K25" s="27" t="s">
        <v>7</v>
      </c>
      <c r="L25" s="27"/>
      <c r="M25" s="13" t="s">
        <v>8</v>
      </c>
      <c r="N25" s="13" t="s">
        <v>9</v>
      </c>
      <c r="O25" s="13" t="s">
        <v>10</v>
      </c>
      <c r="P25" s="14" t="s">
        <v>11</v>
      </c>
      <c r="S25" s="12"/>
      <c r="T25" s="27"/>
      <c r="U25" s="27"/>
      <c r="V25" s="13"/>
      <c r="W25" s="13"/>
      <c r="X25" s="13"/>
      <c r="Y25" s="14"/>
    </row>
    <row r="26" spans="1:25" x14ac:dyDescent="0.2">
      <c r="A26" s="10" t="s">
        <v>12</v>
      </c>
      <c r="B26" s="16">
        <v>13</v>
      </c>
      <c r="C26" s="16">
        <v>11</v>
      </c>
      <c r="D26" s="16">
        <f t="shared" ref="D26:D30" si="12">AVERAGE(B26:C26)</f>
        <v>12</v>
      </c>
      <c r="E26" s="15">
        <v>10</v>
      </c>
      <c r="F26" s="15">
        <f>1808.2-1787.8</f>
        <v>20.400000000000091</v>
      </c>
      <c r="G26" s="17">
        <f t="shared" ref="G26:G30" si="13">LOG10(D26*100*E26/F26*1000)</f>
        <v>5.7695510786217241</v>
      </c>
      <c r="J26" s="10" t="s">
        <v>12</v>
      </c>
      <c r="K26" s="16">
        <v>6</v>
      </c>
      <c r="L26" s="16">
        <v>7</v>
      </c>
      <c r="M26" s="16">
        <f t="shared" ref="M26:M30" si="14">AVERAGE(K26:L26)</f>
        <v>6.5</v>
      </c>
      <c r="N26" s="15">
        <v>10000</v>
      </c>
      <c r="O26" s="15">
        <f>1689.9-1667.8</f>
        <v>22.100000000000136</v>
      </c>
      <c r="P26" s="17">
        <f t="shared" ref="P26:P30" si="15">LOG10(M26*100*N26/O26*1000)</f>
        <v>8.4685210829577429</v>
      </c>
      <c r="S26" s="10"/>
      <c r="T26" s="16"/>
      <c r="U26" s="16"/>
      <c r="V26" s="16"/>
      <c r="W26" s="15"/>
      <c r="X26" s="15"/>
      <c r="Y26" s="17"/>
    </row>
    <row r="27" spans="1:25" x14ac:dyDescent="0.2">
      <c r="A27" s="10" t="s">
        <v>13</v>
      </c>
      <c r="B27" s="16">
        <v>5</v>
      </c>
      <c r="C27" s="16">
        <v>8</v>
      </c>
      <c r="D27" s="16">
        <f t="shared" si="12"/>
        <v>6.5</v>
      </c>
      <c r="E27" s="15">
        <v>1000</v>
      </c>
      <c r="F27" s="15">
        <f>1845.4-1810.8</f>
        <v>34.600000000000136</v>
      </c>
      <c r="G27" s="17">
        <f t="shared" si="13"/>
        <v>7.2738372578500776</v>
      </c>
      <c r="J27" s="10" t="s">
        <v>13</v>
      </c>
      <c r="K27" s="16">
        <v>22</v>
      </c>
      <c r="L27" s="16">
        <v>22</v>
      </c>
      <c r="M27" s="16">
        <f t="shared" si="14"/>
        <v>22</v>
      </c>
      <c r="N27" s="15">
        <v>1000</v>
      </c>
      <c r="O27" s="15">
        <f>1717-1682.6</f>
        <v>34.400000000000091</v>
      </c>
      <c r="P27" s="17">
        <f t="shared" si="15"/>
        <v>7.8058642382506749</v>
      </c>
      <c r="S27" s="10"/>
      <c r="T27" s="16"/>
      <c r="U27" s="16"/>
      <c r="V27" s="16"/>
      <c r="W27" s="15"/>
      <c r="X27" s="15"/>
      <c r="Y27" s="17"/>
    </row>
    <row r="28" spans="1:25" x14ac:dyDescent="0.2">
      <c r="A28" s="10" t="s">
        <v>14</v>
      </c>
      <c r="B28" s="16">
        <v>22</v>
      </c>
      <c r="C28" s="16">
        <v>20</v>
      </c>
      <c r="D28" s="16">
        <f t="shared" si="12"/>
        <v>21</v>
      </c>
      <c r="E28" s="10">
        <v>10</v>
      </c>
      <c r="F28" s="10">
        <f>1732.9-1703.8</f>
        <v>29.100000000000136</v>
      </c>
      <c r="G28" s="17">
        <f t="shared" si="13"/>
        <v>5.8583263057480099</v>
      </c>
      <c r="J28" s="10" t="s">
        <v>14</v>
      </c>
      <c r="K28" s="16">
        <v>6</v>
      </c>
      <c r="L28" s="16">
        <v>6</v>
      </c>
      <c r="M28" s="16">
        <f t="shared" si="14"/>
        <v>6</v>
      </c>
      <c r="N28" s="10">
        <v>1000</v>
      </c>
      <c r="O28" s="10">
        <f>1738.3-1712.4</f>
        <v>25.899999999999864</v>
      </c>
      <c r="P28" s="17">
        <f t="shared" si="15"/>
        <v>7.3648514863023937</v>
      </c>
      <c r="S28" s="10"/>
      <c r="T28" s="16"/>
      <c r="U28" s="16"/>
      <c r="V28" s="16"/>
      <c r="W28" s="15"/>
      <c r="X28" s="15"/>
      <c r="Y28" s="17"/>
    </row>
    <row r="29" spans="1:25" x14ac:dyDescent="0.2">
      <c r="A29" s="10" t="s">
        <v>15</v>
      </c>
      <c r="B29" s="16">
        <v>29</v>
      </c>
      <c r="C29" s="16">
        <v>24</v>
      </c>
      <c r="D29" s="16">
        <f t="shared" si="12"/>
        <v>26.5</v>
      </c>
      <c r="E29" s="10">
        <v>1</v>
      </c>
      <c r="F29" s="10">
        <f>1805.2-1736</f>
        <v>69.200000000000045</v>
      </c>
      <c r="G29" s="17">
        <f t="shared" si="13"/>
        <v>4.5831397794800495</v>
      </c>
      <c r="J29" s="10" t="s">
        <v>15</v>
      </c>
      <c r="K29" s="16">
        <v>10</v>
      </c>
      <c r="L29" s="16">
        <v>10</v>
      </c>
      <c r="M29" s="16">
        <f t="shared" si="14"/>
        <v>10</v>
      </c>
      <c r="N29" s="10">
        <v>1</v>
      </c>
      <c r="O29" s="10">
        <f>1687.7-1665.6</f>
        <v>22.100000000000136</v>
      </c>
      <c r="P29" s="17">
        <f t="shared" si="15"/>
        <v>4.6556077263148863</v>
      </c>
      <c r="S29" s="10"/>
      <c r="T29" s="16"/>
      <c r="U29" s="16"/>
      <c r="V29" s="16"/>
      <c r="W29" s="15"/>
      <c r="X29" s="15"/>
      <c r="Y29" s="17"/>
    </row>
    <row r="30" spans="1:25" x14ac:dyDescent="0.2">
      <c r="A30" s="10" t="s">
        <v>16</v>
      </c>
      <c r="B30" s="16">
        <v>5</v>
      </c>
      <c r="C30" s="16">
        <v>1</v>
      </c>
      <c r="D30" s="16">
        <f t="shared" si="12"/>
        <v>3</v>
      </c>
      <c r="E30" s="10">
        <v>1</v>
      </c>
      <c r="F30" s="10">
        <f>1757.9-1733.1</f>
        <v>24.800000000000182</v>
      </c>
      <c r="G30" s="17">
        <f t="shared" si="13"/>
        <v>4.0826695738934431</v>
      </c>
      <c r="J30" s="10" t="s">
        <v>16</v>
      </c>
      <c r="K30" s="16">
        <v>6</v>
      </c>
      <c r="L30" s="16">
        <v>1</v>
      </c>
      <c r="M30" s="16">
        <f t="shared" si="14"/>
        <v>3.5</v>
      </c>
      <c r="N30" s="10">
        <v>1</v>
      </c>
      <c r="O30" s="10">
        <f>1984.1-1777.4</f>
        <v>206.69999999999982</v>
      </c>
      <c r="P30" s="17">
        <f t="shared" si="15"/>
        <v>3.2287275677229879</v>
      </c>
      <c r="S30" s="10"/>
      <c r="T30" s="16"/>
      <c r="U30" s="16"/>
      <c r="V30" s="16"/>
      <c r="W30" s="15"/>
      <c r="X30" s="15"/>
      <c r="Y30" s="17"/>
    </row>
    <row r="31" spans="1:25" x14ac:dyDescent="0.2">
      <c r="A31" s="10"/>
      <c r="D31" s="16"/>
      <c r="G31" s="17"/>
      <c r="J31" s="10"/>
      <c r="M31" s="16"/>
      <c r="P31" s="17"/>
      <c r="S31" s="10"/>
      <c r="T31" s="16"/>
      <c r="U31" s="16"/>
      <c r="V31" s="16"/>
      <c r="W31" s="15"/>
      <c r="X31" s="15"/>
      <c r="Y31" s="17"/>
    </row>
    <row r="32" spans="1:25" x14ac:dyDescent="0.2">
      <c r="S32" s="16"/>
      <c r="T32" s="16"/>
      <c r="U32" s="16"/>
      <c r="V32" s="16"/>
      <c r="W32" s="15"/>
      <c r="X32" s="15"/>
      <c r="Y32" s="17"/>
    </row>
    <row r="33" spans="1:25" ht="51" x14ac:dyDescent="0.2">
      <c r="A33" s="7" t="s">
        <v>21</v>
      </c>
      <c r="B33" s="27" t="s">
        <v>7</v>
      </c>
      <c r="C33" s="27"/>
      <c r="D33" s="13" t="s">
        <v>8</v>
      </c>
      <c r="E33" s="13" t="s">
        <v>9</v>
      </c>
      <c r="F33" s="13" t="s">
        <v>10</v>
      </c>
      <c r="G33" s="14" t="s">
        <v>11</v>
      </c>
      <c r="J33" s="12" t="s">
        <v>27</v>
      </c>
      <c r="K33" s="27" t="s">
        <v>7</v>
      </c>
      <c r="L33" s="27"/>
      <c r="M33" s="13" t="s">
        <v>8</v>
      </c>
      <c r="N33" s="13" t="s">
        <v>9</v>
      </c>
      <c r="O33" s="13" t="s">
        <v>10</v>
      </c>
      <c r="P33" s="14" t="s">
        <v>11</v>
      </c>
      <c r="S33" s="12"/>
      <c r="T33" s="27"/>
      <c r="U33" s="27"/>
      <c r="V33" s="13"/>
      <c r="W33" s="13"/>
      <c r="X33" s="13"/>
      <c r="Y33" s="14"/>
    </row>
    <row r="34" spans="1:25" x14ac:dyDescent="0.2">
      <c r="A34" s="10" t="s">
        <v>12</v>
      </c>
      <c r="B34" s="16">
        <v>1</v>
      </c>
      <c r="C34" s="16">
        <v>0</v>
      </c>
      <c r="D34" s="16">
        <f t="shared" ref="D34:D38" si="16">AVERAGE(B34:C34)</f>
        <v>0.5</v>
      </c>
      <c r="E34" s="15">
        <v>1</v>
      </c>
      <c r="F34" s="15">
        <f>1729-1712.4</f>
        <v>16.599999999999909</v>
      </c>
      <c r="G34" s="17">
        <f t="shared" ref="G34:G38" si="17">LOG10(D34*100*E34/F34*1000)</f>
        <v>3.478861916295966</v>
      </c>
      <c r="J34" s="10" t="s">
        <v>12</v>
      </c>
      <c r="K34" s="16">
        <v>12</v>
      </c>
      <c r="L34" s="16">
        <v>29</v>
      </c>
      <c r="M34" s="16">
        <f t="shared" ref="M34:M38" si="18">AVERAGE(K34:L34)</f>
        <v>20.5</v>
      </c>
      <c r="N34" s="15">
        <v>10</v>
      </c>
      <c r="O34" s="15">
        <f>1748.9-1722.6</f>
        <v>26.300000000000182</v>
      </c>
      <c r="P34" s="17">
        <f t="shared" ref="P34:P38" si="19">LOG10(M34*100*N34/O34*1000)</f>
        <v>5.8917981125659935</v>
      </c>
      <c r="S34" s="10"/>
      <c r="T34" s="16"/>
      <c r="U34" s="16"/>
      <c r="V34" s="16"/>
      <c r="W34" s="15"/>
      <c r="X34" s="15"/>
      <c r="Y34" s="17"/>
    </row>
    <row r="35" spans="1:25" x14ac:dyDescent="0.2">
      <c r="A35" s="10" t="s">
        <v>13</v>
      </c>
      <c r="B35" s="16">
        <v>21</v>
      </c>
      <c r="C35" s="16">
        <v>23</v>
      </c>
      <c r="D35" s="16">
        <f t="shared" si="16"/>
        <v>22</v>
      </c>
      <c r="E35" s="10">
        <v>1</v>
      </c>
      <c r="F35" s="10">
        <f>1740.6-1704.9</f>
        <v>35.699999999999818</v>
      </c>
      <c r="G35" s="17">
        <f t="shared" si="17"/>
        <v>4.7897544647100156</v>
      </c>
      <c r="J35" s="10" t="s">
        <v>13</v>
      </c>
      <c r="K35">
        <v>14</v>
      </c>
      <c r="L35">
        <v>13</v>
      </c>
      <c r="M35" s="16">
        <f t="shared" si="18"/>
        <v>13.5</v>
      </c>
      <c r="N35" s="10">
        <v>100</v>
      </c>
      <c r="O35" s="10">
        <f>1691-1674.6</f>
        <v>16.400000000000091</v>
      </c>
      <c r="P35" s="17">
        <f t="shared" si="19"/>
        <v>6.9154899204473059</v>
      </c>
      <c r="S35" s="10"/>
      <c r="T35" s="16"/>
      <c r="U35" s="16"/>
      <c r="V35" s="16"/>
      <c r="Y35" s="17"/>
    </row>
    <row r="36" spans="1:25" x14ac:dyDescent="0.2">
      <c r="A36" s="10" t="s">
        <v>14</v>
      </c>
      <c r="B36" s="16">
        <v>17</v>
      </c>
      <c r="C36" s="16">
        <v>17</v>
      </c>
      <c r="D36" s="16">
        <f t="shared" si="16"/>
        <v>17</v>
      </c>
      <c r="E36" s="10">
        <v>100</v>
      </c>
      <c r="F36" s="10">
        <f>1861.5-1785.4</f>
        <v>76.099999999999909</v>
      </c>
      <c r="G36" s="17">
        <f t="shared" si="17"/>
        <v>6.3490642646077013</v>
      </c>
      <c r="J36" s="10" t="s">
        <v>14</v>
      </c>
      <c r="K36" s="16">
        <v>6</v>
      </c>
      <c r="L36" s="16">
        <v>9</v>
      </c>
      <c r="M36" s="16">
        <f t="shared" si="18"/>
        <v>7.5</v>
      </c>
      <c r="N36" s="10">
        <v>1000</v>
      </c>
      <c r="O36" s="10">
        <f>1725.2-1706.8</f>
        <v>18.400000000000091</v>
      </c>
      <c r="P36" s="17">
        <f t="shared" si="19"/>
        <v>7.6102434403821615</v>
      </c>
      <c r="S36" s="10"/>
      <c r="T36" s="16"/>
      <c r="U36" s="16"/>
      <c r="V36" s="16"/>
      <c r="Y36" s="17"/>
    </row>
    <row r="37" spans="1:25" x14ac:dyDescent="0.2">
      <c r="A37" s="10" t="s">
        <v>15</v>
      </c>
      <c r="B37" s="16">
        <v>0</v>
      </c>
      <c r="C37" s="16">
        <v>2</v>
      </c>
      <c r="D37" s="16">
        <f t="shared" si="16"/>
        <v>1</v>
      </c>
      <c r="E37" s="10">
        <v>1</v>
      </c>
      <c r="F37" s="10">
        <f>1896.5-1840</f>
        <v>56.5</v>
      </c>
      <c r="G37" s="17">
        <f t="shared" si="17"/>
        <v>3.2479515521805613</v>
      </c>
      <c r="J37" s="10" t="s">
        <v>15</v>
      </c>
      <c r="K37" s="16">
        <v>9</v>
      </c>
      <c r="L37" s="16">
        <v>13</v>
      </c>
      <c r="M37" s="16">
        <f t="shared" si="18"/>
        <v>11</v>
      </c>
      <c r="N37" s="10">
        <v>10</v>
      </c>
      <c r="O37" s="10">
        <f>1818.5-1797.7</f>
        <v>20.799999999999955</v>
      </c>
      <c r="P37" s="17">
        <f t="shared" si="19"/>
        <v>5.7233293501954643</v>
      </c>
      <c r="S37" s="10"/>
      <c r="T37" s="16"/>
      <c r="U37" s="16"/>
      <c r="V37" s="16"/>
    </row>
    <row r="38" spans="1:25" x14ac:dyDescent="0.2">
      <c r="A38" s="10" t="s">
        <v>16</v>
      </c>
      <c r="B38" s="16">
        <v>0</v>
      </c>
      <c r="C38" s="16">
        <v>0</v>
      </c>
      <c r="D38" s="16">
        <f t="shared" si="16"/>
        <v>0</v>
      </c>
      <c r="E38" s="10">
        <v>1</v>
      </c>
      <c r="F38" s="10">
        <f>1838.8-1776.1</f>
        <v>62.700000000000045</v>
      </c>
      <c r="G38" s="17" t="e">
        <f t="shared" si="17"/>
        <v>#NUM!</v>
      </c>
      <c r="J38" s="10" t="s">
        <v>16</v>
      </c>
      <c r="K38" s="16">
        <v>1</v>
      </c>
      <c r="L38" s="16">
        <v>0</v>
      </c>
      <c r="M38" s="16">
        <f t="shared" si="18"/>
        <v>0.5</v>
      </c>
      <c r="N38" s="10">
        <v>1</v>
      </c>
      <c r="O38" s="10">
        <f>1928.1-1755.1</f>
        <v>173</v>
      </c>
      <c r="P38" s="17">
        <f t="shared" si="19"/>
        <v>2.4609239012072233</v>
      </c>
      <c r="S38" s="10"/>
    </row>
  </sheetData>
  <mergeCells count="15">
    <mergeCell ref="K1:L1"/>
    <mergeCell ref="K9:L9"/>
    <mergeCell ref="K17:L17"/>
    <mergeCell ref="K25:L25"/>
    <mergeCell ref="K33:L33"/>
    <mergeCell ref="B1:C1"/>
    <mergeCell ref="B9:C9"/>
    <mergeCell ref="B17:C17"/>
    <mergeCell ref="B25:C25"/>
    <mergeCell ref="B33:C33"/>
    <mergeCell ref="T1:U1"/>
    <mergeCell ref="T9:U9"/>
    <mergeCell ref="T17:U17"/>
    <mergeCell ref="T25:U25"/>
    <mergeCell ref="T33:U3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dose</vt:lpstr>
      <vt:lpstr>feces post ttmt - 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2022-03-03T21:45:36Z</dcterms:created>
  <dcterms:modified xsi:type="dcterms:W3CDTF">2022-04-11T17:06:34Z</dcterms:modified>
</cp:coreProperties>
</file>