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3/Mouse GI carriage/"/>
    </mc:Choice>
  </mc:AlternateContent>
  <xr:revisionPtr revIDLastSave="0" documentId="13_ncr:1_{15C57C6B-D28D-FD48-9BFB-3FA6F18BFE7D}" xr6:coauthVersionLast="47" xr6:coauthVersionMax="47" xr10:uidLastSave="{00000000-0000-0000-0000-000000000000}"/>
  <bookViews>
    <workbookView xWindow="32420" yWindow="1020" windowWidth="28800" windowHeight="17500" activeTab="1" xr2:uid="{05D28018-5EC7-B748-ACA7-09DD0AD3B70C}"/>
  </bookViews>
  <sheets>
    <sheet name="dose" sheetId="4" r:id="rId1"/>
    <sheet name="feces pos ttmnt - PA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39" i="5" l="1"/>
  <c r="F132" i="5"/>
  <c r="F125" i="5"/>
  <c r="F118" i="5"/>
  <c r="F111" i="5"/>
  <c r="F104" i="5"/>
  <c r="F97" i="5"/>
  <c r="F90" i="5"/>
  <c r="F83" i="5"/>
  <c r="F76" i="5"/>
  <c r="F69" i="5"/>
  <c r="F62" i="5"/>
  <c r="F55" i="5"/>
  <c r="F48" i="5"/>
  <c r="F41" i="5"/>
  <c r="F34" i="5"/>
  <c r="F27" i="5"/>
  <c r="F20" i="5"/>
  <c r="F13" i="5"/>
  <c r="F6" i="5"/>
  <c r="G59" i="5"/>
  <c r="F138" i="5"/>
  <c r="F137" i="5"/>
  <c r="F136" i="5"/>
  <c r="F135" i="5"/>
  <c r="F131" i="5"/>
  <c r="F130" i="5"/>
  <c r="F129" i="5"/>
  <c r="F128" i="5"/>
  <c r="F124" i="5"/>
  <c r="F123" i="5"/>
  <c r="F122" i="5"/>
  <c r="F121" i="5"/>
  <c r="F117" i="5"/>
  <c r="F116" i="5"/>
  <c r="F115" i="5"/>
  <c r="F114" i="5"/>
  <c r="F110" i="5"/>
  <c r="F109" i="5"/>
  <c r="F108" i="5"/>
  <c r="F107" i="5"/>
  <c r="F103" i="5"/>
  <c r="F102" i="5"/>
  <c r="F101" i="5"/>
  <c r="F100" i="5"/>
  <c r="F96" i="5"/>
  <c r="F95" i="5"/>
  <c r="F94" i="5"/>
  <c r="F93" i="5"/>
  <c r="F89" i="5"/>
  <c r="F88" i="5"/>
  <c r="F87" i="5"/>
  <c r="F86" i="5"/>
  <c r="F82" i="5"/>
  <c r="F81" i="5"/>
  <c r="F80" i="5"/>
  <c r="F79" i="5"/>
  <c r="F75" i="5"/>
  <c r="F74" i="5"/>
  <c r="F73" i="5"/>
  <c r="F72" i="5"/>
  <c r="F68" i="5"/>
  <c r="F67" i="5"/>
  <c r="F66" i="5"/>
  <c r="F65" i="5"/>
  <c r="F61" i="5"/>
  <c r="F60" i="5"/>
  <c r="F59" i="5"/>
  <c r="F54" i="5"/>
  <c r="F53" i="5"/>
  <c r="F52" i="5"/>
  <c r="F51" i="5"/>
  <c r="F47" i="5"/>
  <c r="F46" i="5"/>
  <c r="F45" i="5"/>
  <c r="F44" i="5"/>
  <c r="F40" i="5"/>
  <c r="F39" i="5"/>
  <c r="F38" i="5"/>
  <c r="F37" i="5"/>
  <c r="F33" i="5"/>
  <c r="F32" i="5"/>
  <c r="F31" i="5"/>
  <c r="F30" i="5"/>
  <c r="F26" i="5"/>
  <c r="F25" i="5"/>
  <c r="F24" i="5"/>
  <c r="F23" i="5"/>
  <c r="F19" i="5"/>
  <c r="F18" i="5"/>
  <c r="F17" i="5"/>
  <c r="F16" i="5"/>
  <c r="F10" i="5"/>
  <c r="F12" i="5"/>
  <c r="F11" i="5"/>
  <c r="F9" i="5"/>
  <c r="F5" i="5"/>
  <c r="F4" i="5"/>
  <c r="F3" i="5"/>
  <c r="F2" i="5"/>
  <c r="D139" i="5"/>
  <c r="G139" i="5" s="1"/>
  <c r="D138" i="5"/>
  <c r="D137" i="5"/>
  <c r="G137" i="5" s="1"/>
  <c r="D136" i="5"/>
  <c r="G136" i="5" s="1"/>
  <c r="D135" i="5"/>
  <c r="G135" i="5" s="1"/>
  <c r="D132" i="5"/>
  <c r="G132" i="5" s="1"/>
  <c r="D131" i="5"/>
  <c r="G131" i="5" s="1"/>
  <c r="D130" i="5"/>
  <c r="G130" i="5" s="1"/>
  <c r="D129" i="5"/>
  <c r="G129" i="5" s="1"/>
  <c r="D128" i="5"/>
  <c r="G128" i="5" s="1"/>
  <c r="D125" i="5"/>
  <c r="G125" i="5" s="1"/>
  <c r="D124" i="5"/>
  <c r="G124" i="5" s="1"/>
  <c r="D123" i="5"/>
  <c r="G123" i="5" s="1"/>
  <c r="D122" i="5"/>
  <c r="G122" i="5" s="1"/>
  <c r="D121" i="5"/>
  <c r="G121" i="5" s="1"/>
  <c r="D118" i="5"/>
  <c r="G118" i="5" s="1"/>
  <c r="D117" i="5"/>
  <c r="D116" i="5"/>
  <c r="G116" i="5" s="1"/>
  <c r="D115" i="5"/>
  <c r="G115" i="5" s="1"/>
  <c r="D114" i="5"/>
  <c r="G114" i="5" s="1"/>
  <c r="D111" i="5"/>
  <c r="G111" i="5" s="1"/>
  <c r="D110" i="5"/>
  <c r="G110" i="5" s="1"/>
  <c r="D109" i="5"/>
  <c r="G109" i="5" s="1"/>
  <c r="D108" i="5"/>
  <c r="G108" i="5" s="1"/>
  <c r="D107" i="5"/>
  <c r="G107" i="5" s="1"/>
  <c r="D104" i="5"/>
  <c r="G104" i="5" s="1"/>
  <c r="D103" i="5"/>
  <c r="G103" i="5" s="1"/>
  <c r="D102" i="5"/>
  <c r="G102" i="5" s="1"/>
  <c r="D101" i="5"/>
  <c r="G101" i="5" s="1"/>
  <c r="D100" i="5"/>
  <c r="G100" i="5" s="1"/>
  <c r="D97" i="5"/>
  <c r="G97" i="5" s="1"/>
  <c r="D96" i="5"/>
  <c r="G96" i="5" s="1"/>
  <c r="D95" i="5"/>
  <c r="G95" i="5" s="1"/>
  <c r="D94" i="5"/>
  <c r="G94" i="5" s="1"/>
  <c r="D93" i="5"/>
  <c r="G93" i="5" s="1"/>
  <c r="D90" i="5"/>
  <c r="G90" i="5" s="1"/>
  <c r="D89" i="5"/>
  <c r="G89" i="5" s="1"/>
  <c r="D88" i="5"/>
  <c r="G88" i="5" s="1"/>
  <c r="D87" i="5"/>
  <c r="G87" i="5" s="1"/>
  <c r="D86" i="5"/>
  <c r="G86" i="5" s="1"/>
  <c r="D83" i="5"/>
  <c r="G83" i="5" s="1"/>
  <c r="D82" i="5"/>
  <c r="G82" i="5" s="1"/>
  <c r="D81" i="5"/>
  <c r="G81" i="5" s="1"/>
  <c r="D80" i="5"/>
  <c r="G80" i="5" s="1"/>
  <c r="D79" i="5"/>
  <c r="G79" i="5" s="1"/>
  <c r="D76" i="5"/>
  <c r="G76" i="5" s="1"/>
  <c r="D75" i="5"/>
  <c r="G75" i="5" s="1"/>
  <c r="D74" i="5"/>
  <c r="G74" i="5" s="1"/>
  <c r="D73" i="5"/>
  <c r="G73" i="5" s="1"/>
  <c r="D72" i="5"/>
  <c r="G72" i="5" s="1"/>
  <c r="D69" i="5"/>
  <c r="G69" i="5" s="1"/>
  <c r="D68" i="5"/>
  <c r="G68" i="5" s="1"/>
  <c r="D67" i="5"/>
  <c r="G67" i="5" s="1"/>
  <c r="D66" i="5"/>
  <c r="G66" i="5" s="1"/>
  <c r="D65" i="5"/>
  <c r="G65" i="5" s="1"/>
  <c r="D62" i="5"/>
  <c r="G62" i="5" s="1"/>
  <c r="D61" i="5"/>
  <c r="G61" i="5" s="1"/>
  <c r="D60" i="5"/>
  <c r="G60" i="5" s="1"/>
  <c r="D59" i="5"/>
  <c r="D58" i="5"/>
  <c r="D55" i="5"/>
  <c r="D54" i="5"/>
  <c r="G54" i="5" s="1"/>
  <c r="D53" i="5"/>
  <c r="G53" i="5" s="1"/>
  <c r="D52" i="5"/>
  <c r="G52" i="5" s="1"/>
  <c r="D51" i="5"/>
  <c r="G51" i="5" s="1"/>
  <c r="D48" i="5"/>
  <c r="G48" i="5" s="1"/>
  <c r="D47" i="5"/>
  <c r="G47" i="5" s="1"/>
  <c r="D46" i="5"/>
  <c r="G46" i="5" s="1"/>
  <c r="D45" i="5"/>
  <c r="G45" i="5" s="1"/>
  <c r="D44" i="5"/>
  <c r="G44" i="5" s="1"/>
  <c r="D41" i="5"/>
  <c r="G41" i="5" s="1"/>
  <c r="D40" i="5"/>
  <c r="G40" i="5" s="1"/>
  <c r="D39" i="5"/>
  <c r="G39" i="5" s="1"/>
  <c r="D38" i="5"/>
  <c r="G38" i="5" s="1"/>
  <c r="D37" i="5"/>
  <c r="G37" i="5" s="1"/>
  <c r="D34" i="5"/>
  <c r="G34" i="5" s="1"/>
  <c r="D33" i="5"/>
  <c r="G33" i="5" s="1"/>
  <c r="D32" i="5"/>
  <c r="G32" i="5" s="1"/>
  <c r="D31" i="5"/>
  <c r="G31" i="5" s="1"/>
  <c r="D30" i="5"/>
  <c r="G30" i="5" s="1"/>
  <c r="D27" i="5"/>
  <c r="G27" i="5" s="1"/>
  <c r="G26" i="5"/>
  <c r="D26" i="5"/>
  <c r="D25" i="5"/>
  <c r="G25" i="5" s="1"/>
  <c r="D24" i="5"/>
  <c r="G24" i="5" s="1"/>
  <c r="D23" i="5"/>
  <c r="G23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G12" i="5" s="1"/>
  <c r="D11" i="5"/>
  <c r="G11" i="5" s="1"/>
  <c r="D10" i="5"/>
  <c r="G10" i="5" s="1"/>
  <c r="D9" i="5"/>
  <c r="G9" i="5" s="1"/>
  <c r="L9" i="4"/>
  <c r="L8" i="4"/>
  <c r="L7" i="4"/>
  <c r="L6" i="4"/>
  <c r="G55" i="5" l="1"/>
  <c r="G138" i="5"/>
  <c r="G117" i="5"/>
  <c r="M8" i="4"/>
  <c r="N8" i="4" s="1"/>
  <c r="M6" i="4"/>
  <c r="N6" i="4" s="1"/>
  <c r="L5" i="4" l="1"/>
  <c r="L4" i="4"/>
  <c r="L3" i="4"/>
  <c r="L2" i="4"/>
  <c r="D6" i="5"/>
  <c r="D5" i="5"/>
  <c r="D4" i="5"/>
  <c r="G4" i="5" s="1"/>
  <c r="D3" i="5"/>
  <c r="G3" i="5" s="1"/>
  <c r="D2" i="5"/>
  <c r="M2" i="4" l="1"/>
  <c r="N2" i="4" s="1"/>
  <c r="M4" i="4"/>
  <c r="N4" i="4" s="1"/>
  <c r="G6" i="5"/>
  <c r="G5" i="5"/>
  <c r="G2" i="5"/>
</calcChain>
</file>

<file path=xl/sharedStrings.xml><?xml version="1.0" encoding="utf-8"?>
<sst xmlns="http://schemas.openxmlformats.org/spreadsheetml/2006/main" count="231" uniqueCount="42">
  <si>
    <t>number of CFU (not diluted)</t>
  </si>
  <si>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</si>
  <si>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</si>
  <si>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</si>
  <si>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</si>
  <si>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</si>
  <si>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</si>
  <si>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</si>
  <si>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</si>
  <si>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</si>
  <si>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</si>
  <si>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</si>
  <si>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</si>
  <si>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</si>
  <si>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</si>
  <si>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>OD reached</t>
  </si>
  <si>
    <t>BL004 - VBM plates</t>
  </si>
  <si>
    <t>BL012 - VBM plates</t>
  </si>
  <si>
    <t>BL048 - VBM plates</t>
  </si>
  <si>
    <t>BL049 - VBM plates</t>
  </si>
  <si>
    <t>BL004 mouse 1 10^5.1</t>
  </si>
  <si>
    <t>BL004 mouse 2 10^5.1</t>
  </si>
  <si>
    <t>BL004 mouse 3 10^5.1</t>
  </si>
  <si>
    <t>BL004 mouse 4 10^5.1</t>
  </si>
  <si>
    <t>BL004 mouse 5 10^5.1</t>
  </si>
  <si>
    <t>BL012 mouse 1 10^5.9</t>
  </si>
  <si>
    <t>BL012 mouse 2 10^5.9</t>
  </si>
  <si>
    <t>BL012 mouse 3 10^5.9</t>
  </si>
  <si>
    <t>BL012 mouse 4 10^5.9</t>
  </si>
  <si>
    <t>BL012 mouse 5 10^5.9</t>
  </si>
  <si>
    <t>BL048 mouse 1 10^5.4</t>
  </si>
  <si>
    <t>BL048 mouse 2 10^5.4</t>
  </si>
  <si>
    <t>BL048 mouse 3 10^5.4</t>
  </si>
  <si>
    <t>BL048 mouse 4 10^5.4</t>
  </si>
  <si>
    <t>BL048 mouse 5 10^5.4</t>
  </si>
  <si>
    <t>BL049 mouse 1 10^6.1</t>
  </si>
  <si>
    <t>BL049 mouse 2 10^6.1</t>
  </si>
  <si>
    <t>BL049 mouse 3 10^6.1</t>
  </si>
  <si>
    <t>BL049 mouse 4 10^6.1</t>
  </si>
  <si>
    <t>BL049 mouse 5 10^6.1</t>
  </si>
  <si>
    <t>day 3 - didn't poop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</si>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</sst>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0"/>
      <name val="Verdana"/>
      <family val="2"/>
    </font>
    <font>
      <sz val="12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1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vertical="center"/>
    </xf>
    <xf numFmtId="0" fontId="0" fillId="0" borderId="2" xfId="0" applyBorder="1"/>
    <xf numFmtId="11" fontId="0" fillId="0" borderId="2" xfId="0" applyNumberFormat="1" applyBorder="1" applyAlignment="1">
      <alignment horizontal="center" vertical="center"/>
    </xf>
    <xf numFmtId="0" fontId="0" fillId="0" borderId="5" xfId="0" applyBorder="1"/>
    <xf numFmtId="11" fontId="0" fillId="0" borderId="5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4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vertical="center"/>
    </xf>
    <xf numFmtId="0" fontId="0" fillId="5" borderId="0" xfId="0" applyFill="1" applyAlignment="1">
      <alignment horizontal="center"/>
    </xf>
    <xf numFmtId="0" fontId="0" fillId="5" borderId="0" xfId="0" applyFill="1"/>
    <xf numFmtId="164" fontId="0" fillId="5" borderId="0" xfId="0" applyNumberFormat="1" applyFill="1"/>
    <xf numFmtId="0" fontId="6" fillId="5" borderId="0" xfId="0" applyFont="1" applyFill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164" fontId="0" fillId="5" borderId="0" xfId="0" applyNumberFormat="1" applyFill="1" applyAlignment="1">
      <alignment horizontal="center" vertical="center" wrapText="1"/>
    </xf>
    <xf numFmtId="0" fontId="5" fillId="5" borderId="0" xfId="0" applyFont="1" applyFill="1" applyAlignment="1">
      <alignment horizontal="center"/>
    </xf>
    <xf numFmtId="0" fontId="5" fillId="5" borderId="0" xfId="0" applyFont="1" applyFill="1"/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65" fontId="0" fillId="2" borderId="3" xfId="0" applyNumberFormat="1" applyFill="1" applyBorder="1" applyAlignment="1">
      <alignment horizontal="center" vertical="center"/>
    </xf>
    <xf numFmtId="165" fontId="0" fillId="2" borderId="6" xfId="0" applyNumberFormat="1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A1:P15"/>
  <sheetViews>
    <sheetView workbookViewId="0">
      <selection activeCell="G13" sqref="G13"/>
    </sheetView>
  </sheetViews>
  <sheetFormatPr baseColWidth="10" defaultRowHeight="16" x14ac:dyDescent="0.2"/>
  <cols>
    <col min="2" max="2" width="15.6640625" customWidth="1"/>
    <col min="3" max="3" width="17.33203125" customWidth="1"/>
    <col min="9" max="9" width="14.83203125" customWidth="1"/>
    <col min="11" max="11" width="21" customWidth="1"/>
  </cols>
  <sheetData>
    <row r="1" spans="1:16" x14ac:dyDescent="0.2">
      <c r="A1" s="26"/>
      <c r="B1" s="26"/>
      <c r="C1" s="26"/>
      <c r="D1" s="26"/>
      <c r="E1" s="26"/>
      <c r="I1" s="1"/>
      <c r="J1" s="7" t="s">
        <v>5</v>
      </c>
      <c r="K1" s="7" t="s">
        <v>6</v>
      </c>
      <c r="L1" s="7" t="s">
        <v>10</v>
      </c>
      <c r="M1" s="7" t="s">
        <v>7</v>
      </c>
      <c r="N1" s="7" t="s">
        <v>8</v>
      </c>
      <c r="P1" s="7" t="s">
        <v>15</v>
      </c>
    </row>
    <row r="2" spans="1:16" x14ac:dyDescent="0.2">
      <c r="A2" s="27"/>
      <c r="B2" s="28"/>
      <c r="C2" s="28"/>
      <c r="D2" s="1"/>
      <c r="E2" s="6"/>
      <c r="I2" s="41" t="s">
        <v>16</v>
      </c>
      <c r="J2" s="22">
        <v>28</v>
      </c>
      <c r="K2" s="23">
        <v>1000</v>
      </c>
      <c r="L2" s="23">
        <f t="shared" ref="L2:L9" si="0">J2*5*K2</f>
        <v>140000</v>
      </c>
      <c r="M2" s="43">
        <f>AVERAGE(L2:L3)</f>
        <v>115000</v>
      </c>
      <c r="N2" s="45">
        <f>LOG10(M2)</f>
        <v>5.0606978403536118</v>
      </c>
      <c r="P2" s="47">
        <v>0.318</v>
      </c>
    </row>
    <row r="3" spans="1:16" x14ac:dyDescent="0.2">
      <c r="A3" s="29"/>
      <c r="B3" s="28"/>
      <c r="C3" s="28"/>
      <c r="D3" s="30"/>
      <c r="E3" s="31"/>
      <c r="I3" s="42"/>
      <c r="J3" s="24">
        <v>18</v>
      </c>
      <c r="K3" s="25">
        <v>1000</v>
      </c>
      <c r="L3" s="25">
        <f t="shared" si="0"/>
        <v>90000</v>
      </c>
      <c r="M3" s="44"/>
      <c r="N3" s="46"/>
      <c r="P3" s="47"/>
    </row>
    <row r="4" spans="1:16" x14ac:dyDescent="0.2">
      <c r="A4" s="27"/>
      <c r="B4" s="28"/>
      <c r="C4" s="28"/>
      <c r="D4" s="1"/>
      <c r="E4" s="6"/>
      <c r="I4" s="41" t="s">
        <v>17</v>
      </c>
      <c r="J4" s="22">
        <v>15</v>
      </c>
      <c r="K4" s="23">
        <v>10000</v>
      </c>
      <c r="L4" s="23">
        <f t="shared" si="0"/>
        <v>750000</v>
      </c>
      <c r="M4" s="43">
        <f>AVERAGE(L4:L5)</f>
        <v>850000</v>
      </c>
      <c r="N4" s="45">
        <f>LOG10(M4)</f>
        <v>5.9294189257142929</v>
      </c>
      <c r="P4" s="48">
        <v>0.317</v>
      </c>
    </row>
    <row r="5" spans="1:16" x14ac:dyDescent="0.2">
      <c r="A5" s="29"/>
      <c r="B5" s="28"/>
      <c r="C5" s="28"/>
      <c r="D5" s="30"/>
      <c r="E5" s="31"/>
      <c r="I5" s="42"/>
      <c r="J5" s="24">
        <v>19</v>
      </c>
      <c r="K5" s="25">
        <v>10000</v>
      </c>
      <c r="L5" s="25">
        <f t="shared" si="0"/>
        <v>950000</v>
      </c>
      <c r="M5" s="44"/>
      <c r="N5" s="46"/>
      <c r="P5" s="48"/>
    </row>
    <row r="6" spans="1:16" x14ac:dyDescent="0.2">
      <c r="I6" s="41" t="s">
        <v>18</v>
      </c>
      <c r="J6" s="22">
        <v>47</v>
      </c>
      <c r="K6" s="23">
        <v>1000</v>
      </c>
      <c r="L6" s="23">
        <f t="shared" si="0"/>
        <v>235000</v>
      </c>
      <c r="M6" s="43">
        <f>AVERAGE(L6:L7)</f>
        <v>252500</v>
      </c>
      <c r="N6" s="45">
        <f>LOG10(M6)</f>
        <v>5.4022613824546806</v>
      </c>
      <c r="P6" s="47">
        <v>0.33300000000000002</v>
      </c>
    </row>
    <row r="7" spans="1:16" x14ac:dyDescent="0.2">
      <c r="I7" s="42"/>
      <c r="J7" s="24">
        <v>54</v>
      </c>
      <c r="K7" s="25">
        <v>1000</v>
      </c>
      <c r="L7" s="25">
        <f t="shared" si="0"/>
        <v>270000</v>
      </c>
      <c r="M7" s="44"/>
      <c r="N7" s="46"/>
      <c r="P7" s="47"/>
    </row>
    <row r="8" spans="1:16" x14ac:dyDescent="0.2">
      <c r="I8" s="41" t="s">
        <v>19</v>
      </c>
      <c r="J8" s="22">
        <v>26</v>
      </c>
      <c r="K8" s="23">
        <v>10000</v>
      </c>
      <c r="L8" s="23">
        <f t="shared" si="0"/>
        <v>1300000</v>
      </c>
      <c r="M8" s="43">
        <f>AVERAGE(L8:L9)</f>
        <v>1250000</v>
      </c>
      <c r="N8" s="45">
        <f>LOG10(M8)</f>
        <v>6.0969100130080562</v>
      </c>
      <c r="P8" s="48">
        <v>0.32300000000000001</v>
      </c>
    </row>
    <row r="9" spans="1:16" x14ac:dyDescent="0.2">
      <c r="I9" s="42"/>
      <c r="J9" s="24">
        <v>24</v>
      </c>
      <c r="K9" s="25">
        <v>10000</v>
      </c>
      <c r="L9" s="25">
        <f t="shared" si="0"/>
        <v>1200000</v>
      </c>
      <c r="M9" s="44"/>
      <c r="N9" s="46"/>
      <c r="P9" s="48"/>
    </row>
    <row r="10" spans="1:16" x14ac:dyDescent="0.2">
      <c r="I10" s="8"/>
      <c r="K10" s="20"/>
      <c r="L10" s="20"/>
      <c r="M10" s="21"/>
      <c r="N10" s="32"/>
      <c r="P10" s="19"/>
    </row>
    <row r="11" spans="1:16" x14ac:dyDescent="0.2">
      <c r="I11" s="8"/>
      <c r="K11" s="20"/>
      <c r="L11" s="20"/>
      <c r="M11" s="21"/>
      <c r="N11" s="32"/>
      <c r="P11" s="19"/>
    </row>
    <row r="12" spans="1:16" x14ac:dyDescent="0.2">
      <c r="I12" s="8"/>
      <c r="K12" s="20"/>
      <c r="L12" s="20"/>
      <c r="M12" s="21"/>
      <c r="N12" s="32"/>
      <c r="P12" s="19"/>
    </row>
    <row r="13" spans="1:16" x14ac:dyDescent="0.2">
      <c r="I13" s="8"/>
      <c r="K13" s="20"/>
      <c r="L13" s="20"/>
      <c r="M13" s="21"/>
      <c r="N13" s="32"/>
      <c r="P13" s="19"/>
    </row>
    <row r="14" spans="1:16" x14ac:dyDescent="0.2">
      <c r="I14" s="8"/>
      <c r="K14" s="20"/>
      <c r="L14" s="20"/>
      <c r="M14" s="21"/>
      <c r="N14" s="19"/>
    </row>
    <row r="15" spans="1:16" x14ac:dyDescent="0.2">
      <c r="I15" s="8"/>
      <c r="K15" s="20"/>
      <c r="L15" s="20"/>
      <c r="M15" s="21"/>
      <c r="N15" s="19"/>
    </row>
  </sheetData>
  <mergeCells count="16">
    <mergeCell ref="P6:P7"/>
    <mergeCell ref="I8:I9"/>
    <mergeCell ref="M8:M9"/>
    <mergeCell ref="N8:N9"/>
    <mergeCell ref="P8:P9"/>
    <mergeCell ref="I6:I7"/>
    <mergeCell ref="M6:M7"/>
    <mergeCell ref="N6:N7"/>
    <mergeCell ref="I4:I5"/>
    <mergeCell ref="M4:M5"/>
    <mergeCell ref="N4:N5"/>
    <mergeCell ref="P2:P3"/>
    <mergeCell ref="P4:P5"/>
    <mergeCell ref="I2:I3"/>
    <mergeCell ref="M2:M3"/>
    <mergeCell ref="N2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J321"/>
  <sheetViews>
    <sheetView tabSelected="1" topLeftCell="A125" zoomScale="116" zoomScaleNormal="100" workbookViewId="0">
      <selection activeCell="F140" sqref="F140"/>
    </sheetView>
  </sheetViews>
  <sheetFormatPr baseColWidth="10" defaultRowHeight="16" x14ac:dyDescent="0.2"/>
  <cols>
    <col min="1" max="1" width="16.83203125" customWidth="1"/>
  </cols>
  <sheetData>
    <row r="1" spans="1:8" ht="51" x14ac:dyDescent="0.2">
      <c r="A1" s="2" t="s">
        <v>20</v>
      </c>
      <c r="B1" s="49" t="s">
        <v>0</v>
      </c>
      <c r="C1" s="49"/>
      <c r="D1" s="6" t="s">
        <v>1</v>
      </c>
      <c r="E1" s="6" t="s">
        <v>4</v>
      </c>
      <c r="F1" s="6" t="s">
        <v>2</v>
      </c>
      <c r="G1" s="9" t="s">
        <v>3</v>
      </c>
      <c r="H1" s="9"/>
    </row>
    <row r="2" spans="1:8" x14ac:dyDescent="0.2">
      <c r="A2" s="4" t="s">
        <v>11</v>
      </c>
      <c r="B2">
        <v>58</v>
      </c>
      <c r="C2">
        <v>57</v>
      </c>
      <c r="D2">
        <f>AVERAGE(B2:C2)</f>
        <v>57.5</v>
      </c>
      <c r="E2" s="4">
        <v>1000</v>
      </c>
      <c r="F2" s="4">
        <f>1705.1-1688.2</f>
        <v>16.899999999999864</v>
      </c>
      <c r="G2" s="10">
        <f>LOG10(D2*100*E2/F2*1000)</f>
        <v>8.5317811400759602</v>
      </c>
      <c r="H2" s="10"/>
    </row>
    <row r="3" spans="1:8" x14ac:dyDescent="0.2">
      <c r="A3" s="4" t="s">
        <v>12</v>
      </c>
      <c r="B3">
        <v>39</v>
      </c>
      <c r="C3">
        <v>34</v>
      </c>
      <c r="D3">
        <f t="shared" ref="D3:D6" si="0">AVERAGE(B3:C3)</f>
        <v>36.5</v>
      </c>
      <c r="E3" s="4">
        <v>10000</v>
      </c>
      <c r="F3" s="4">
        <f>1628.2-1591.5</f>
        <v>36.700000000000045</v>
      </c>
      <c r="G3" s="10">
        <f>LOG10(D3*100*E3/F3*1000)</f>
        <v>8.9976268002043849</v>
      </c>
      <c r="H3" s="10"/>
    </row>
    <row r="4" spans="1:8" x14ac:dyDescent="0.2">
      <c r="A4" s="4" t="s">
        <v>9</v>
      </c>
      <c r="B4">
        <v>19</v>
      </c>
      <c r="C4">
        <v>27</v>
      </c>
      <c r="D4">
        <f t="shared" si="0"/>
        <v>23</v>
      </c>
      <c r="E4" s="4">
        <v>10000</v>
      </c>
      <c r="F4" s="4">
        <f>1810.2-1781.8</f>
        <v>28.400000000000091</v>
      </c>
      <c r="G4" s="10">
        <f t="shared" ref="G4:G6" si="1">LOG10(D4*100*E4/F4*1000)</f>
        <v>8.9084094959705542</v>
      </c>
      <c r="H4" s="10"/>
    </row>
    <row r="5" spans="1:8" x14ac:dyDescent="0.2">
      <c r="A5" s="4" t="s">
        <v>14</v>
      </c>
      <c r="B5">
        <v>77</v>
      </c>
      <c r="C5">
        <v>74</v>
      </c>
      <c r="D5">
        <f t="shared" si="0"/>
        <v>75.5</v>
      </c>
      <c r="E5" s="4">
        <v>100</v>
      </c>
      <c r="F5" s="4">
        <f>1898-1851.9</f>
        <v>46.099999999999909</v>
      </c>
      <c r="G5" s="10">
        <f t="shared" si="1"/>
        <v>7.2142460262395414</v>
      </c>
      <c r="H5" s="10"/>
    </row>
    <row r="6" spans="1:8" ht="16" customHeight="1" x14ac:dyDescent="0.2">
      <c r="A6" s="6" t="s">
        <v>13</v>
      </c>
      <c r="B6" s="8">
        <v>78</v>
      </c>
      <c r="C6" s="8">
        <v>71</v>
      </c>
      <c r="D6">
        <f t="shared" si="0"/>
        <v>74.5</v>
      </c>
      <c r="E6" s="6">
        <v>10</v>
      </c>
      <c r="F6" s="6">
        <f>1915.5-1861.8</f>
        <v>53.700000000000045</v>
      </c>
      <c r="G6" s="10">
        <f t="shared" si="1"/>
        <v>6.1421819870487369</v>
      </c>
      <c r="H6" s="10"/>
    </row>
    <row r="7" spans="1:8" x14ac:dyDescent="0.2">
      <c r="A7" s="4"/>
      <c r="E7" s="4"/>
      <c r="F7" s="4"/>
      <c r="G7" s="10"/>
      <c r="H7" s="10"/>
    </row>
    <row r="8" spans="1:8" ht="51" x14ac:dyDescent="0.2">
      <c r="A8" s="2" t="s">
        <v>21</v>
      </c>
      <c r="B8" s="49" t="s">
        <v>0</v>
      </c>
      <c r="C8" s="49"/>
      <c r="D8" s="6" t="s">
        <v>1</v>
      </c>
      <c r="E8" s="6" t="s">
        <v>4</v>
      </c>
      <c r="F8" s="6" t="s">
        <v>2</v>
      </c>
      <c r="G8" s="9" t="s">
        <v>3</v>
      </c>
      <c r="H8" s="10"/>
    </row>
    <row r="9" spans="1:8" x14ac:dyDescent="0.2">
      <c r="A9" s="4" t="s">
        <v>11</v>
      </c>
      <c r="B9">
        <v>21</v>
      </c>
      <c r="C9">
        <v>14</v>
      </c>
      <c r="D9">
        <f>AVERAGE(B9:C9)</f>
        <v>17.5</v>
      </c>
      <c r="E9" s="4">
        <v>10000</v>
      </c>
      <c r="F9" s="4">
        <f>1726.8-1696.3</f>
        <v>30.5</v>
      </c>
      <c r="G9" s="10">
        <f>LOG10(D9*100*E9/F9*1000)</f>
        <v>8.7587382093395085</v>
      </c>
      <c r="H9" s="10"/>
    </row>
    <row r="10" spans="1:8" x14ac:dyDescent="0.2">
      <c r="A10" s="4" t="s">
        <v>12</v>
      </c>
      <c r="B10">
        <v>4</v>
      </c>
      <c r="C10">
        <v>9</v>
      </c>
      <c r="D10">
        <f t="shared" ref="D10:D13" si="2">AVERAGE(B10:C10)</f>
        <v>6.5</v>
      </c>
      <c r="E10" s="4">
        <v>10000</v>
      </c>
      <c r="F10" s="4">
        <f>1810.9-1793.3</f>
        <v>17.600000000000136</v>
      </c>
      <c r="G10" s="10">
        <f>LOG10(D10*100*E10/F10*1000)</f>
        <v>8.5674006888287018</v>
      </c>
      <c r="H10" s="10"/>
    </row>
    <row r="11" spans="1:8" x14ac:dyDescent="0.2">
      <c r="A11" s="4" t="s">
        <v>9</v>
      </c>
      <c r="B11">
        <v>28</v>
      </c>
      <c r="C11">
        <v>22</v>
      </c>
      <c r="D11">
        <f t="shared" si="2"/>
        <v>25</v>
      </c>
      <c r="E11" s="4">
        <v>1000</v>
      </c>
      <c r="F11" s="4">
        <f>1747.6-1721.6</f>
        <v>26</v>
      </c>
      <c r="G11" s="10">
        <f t="shared" ref="G11:G13" si="3">LOG10(D11*100*E11/F11*1000)</f>
        <v>7.9829666607012193</v>
      </c>
      <c r="H11" s="10"/>
    </row>
    <row r="12" spans="1:8" x14ac:dyDescent="0.2">
      <c r="A12" s="4" t="s">
        <v>14</v>
      </c>
      <c r="B12">
        <v>10</v>
      </c>
      <c r="C12">
        <v>14</v>
      </c>
      <c r="D12">
        <f t="shared" si="2"/>
        <v>12</v>
      </c>
      <c r="E12" s="4">
        <v>100</v>
      </c>
      <c r="F12" s="4">
        <f>1721.8-1707.8</f>
        <v>14</v>
      </c>
      <c r="G12" s="10">
        <f t="shared" si="3"/>
        <v>6.9330532103693869</v>
      </c>
      <c r="H12" s="10"/>
    </row>
    <row r="13" spans="1:8" ht="17" x14ac:dyDescent="0.2">
      <c r="A13" s="6" t="s">
        <v>13</v>
      </c>
      <c r="B13" s="8">
        <v>74</v>
      </c>
      <c r="C13" s="8">
        <v>53</v>
      </c>
      <c r="D13">
        <f t="shared" si="2"/>
        <v>63.5</v>
      </c>
      <c r="E13" s="6">
        <v>1</v>
      </c>
      <c r="F13" s="6">
        <f>1659.2-1636.7</f>
        <v>22.5</v>
      </c>
      <c r="G13" s="10">
        <f t="shared" si="3"/>
        <v>5.4505912071806133</v>
      </c>
      <c r="H13" s="10"/>
    </row>
    <row r="14" spans="1:8" x14ac:dyDescent="0.2">
      <c r="A14" s="4"/>
      <c r="E14" s="4"/>
      <c r="F14" s="4"/>
      <c r="G14" s="10"/>
      <c r="H14" s="10"/>
    </row>
    <row r="15" spans="1:8" ht="51" x14ac:dyDescent="0.2">
      <c r="A15" s="2" t="s">
        <v>22</v>
      </c>
      <c r="B15" s="49" t="s">
        <v>0</v>
      </c>
      <c r="C15" s="49"/>
      <c r="D15" s="6" t="s">
        <v>1</v>
      </c>
      <c r="E15" s="6" t="s">
        <v>4</v>
      </c>
      <c r="F15" s="6" t="s">
        <v>2</v>
      </c>
      <c r="G15" s="9" t="s">
        <v>3</v>
      </c>
      <c r="H15" s="10"/>
    </row>
    <row r="16" spans="1:8" x14ac:dyDescent="0.2">
      <c r="A16" s="4" t="s">
        <v>11</v>
      </c>
      <c r="B16">
        <v>38</v>
      </c>
      <c r="C16">
        <v>35</v>
      </c>
      <c r="D16">
        <f>AVERAGE(B16:C16)</f>
        <v>36.5</v>
      </c>
      <c r="E16" s="4">
        <v>1000</v>
      </c>
      <c r="F16" s="4">
        <f>1777.4-1760.7</f>
        <v>16.700000000000045</v>
      </c>
      <c r="G16" s="10">
        <f>LOG10(D16*100*E16/F16*1000)</f>
        <v>8.3395763933088904</v>
      </c>
      <c r="H16" s="10"/>
    </row>
    <row r="17" spans="1:8" x14ac:dyDescent="0.2">
      <c r="A17" s="4" t="s">
        <v>12</v>
      </c>
      <c r="B17">
        <v>58</v>
      </c>
      <c r="C17">
        <v>60</v>
      </c>
      <c r="D17">
        <f t="shared" ref="D17:D20" si="4">AVERAGE(B17:C17)</f>
        <v>59</v>
      </c>
      <c r="E17" s="4">
        <v>10000</v>
      </c>
      <c r="F17" s="4">
        <f>1745.7-1726.7</f>
        <v>19</v>
      </c>
      <c r="G17" s="10">
        <f>LOG10(D17*100*E17/F17*1000)</f>
        <v>9.4920984106893158</v>
      </c>
      <c r="H17" s="10"/>
    </row>
    <row r="18" spans="1:8" x14ac:dyDescent="0.2">
      <c r="A18" s="4" t="s">
        <v>9</v>
      </c>
      <c r="B18">
        <v>19</v>
      </c>
      <c r="C18">
        <v>12</v>
      </c>
      <c r="D18">
        <f t="shared" si="4"/>
        <v>15.5</v>
      </c>
      <c r="E18" s="4">
        <v>100000</v>
      </c>
      <c r="F18" s="4">
        <f>1738.5-1712.1</f>
        <v>26.400000000000091</v>
      </c>
      <c r="G18" s="10">
        <f t="shared" ref="G18:G20" si="5">LOG10(D18*100*E18/F18*1000)</f>
        <v>9.7687277713004583</v>
      </c>
      <c r="H18" s="10"/>
    </row>
    <row r="19" spans="1:8" x14ac:dyDescent="0.2">
      <c r="A19" s="4" t="s">
        <v>14</v>
      </c>
      <c r="B19">
        <v>65</v>
      </c>
      <c r="C19">
        <v>67</v>
      </c>
      <c r="D19">
        <f t="shared" si="4"/>
        <v>66</v>
      </c>
      <c r="E19" s="4">
        <v>10000</v>
      </c>
      <c r="F19" s="4">
        <f>1768-1712.7</f>
        <v>55.299999999999955</v>
      </c>
      <c r="G19" s="10">
        <f t="shared" si="5"/>
        <v>9.0768188042371705</v>
      </c>
      <c r="H19" s="10"/>
    </row>
    <row r="20" spans="1:8" ht="17" x14ac:dyDescent="0.2">
      <c r="A20" s="6" t="s">
        <v>13</v>
      </c>
      <c r="B20" s="8">
        <v>21</v>
      </c>
      <c r="C20" s="8">
        <v>28</v>
      </c>
      <c r="D20">
        <f t="shared" si="4"/>
        <v>24.5</v>
      </c>
      <c r="E20" s="6">
        <v>10000</v>
      </c>
      <c r="F20" s="6">
        <f>1765.7-1721.8</f>
        <v>43.900000000000091</v>
      </c>
      <c r="G20" s="10">
        <f t="shared" si="5"/>
        <v>8.7467015641224108</v>
      </c>
      <c r="H20" s="10"/>
    </row>
    <row r="21" spans="1:8" x14ac:dyDescent="0.2">
      <c r="A21" s="4"/>
      <c r="E21" s="4"/>
      <c r="F21" s="4"/>
      <c r="G21" s="10"/>
      <c r="H21" s="10"/>
    </row>
    <row r="22" spans="1:8" ht="51" x14ac:dyDescent="0.2">
      <c r="A22" s="2" t="s">
        <v>23</v>
      </c>
      <c r="B22" s="49" t="s">
        <v>0</v>
      </c>
      <c r="C22" s="49"/>
      <c r="D22" s="6" t="s">
        <v>1</v>
      </c>
      <c r="E22" s="6" t="s">
        <v>4</v>
      </c>
      <c r="F22" s="6" t="s">
        <v>2</v>
      </c>
      <c r="G22" s="9" t="s">
        <v>3</v>
      </c>
      <c r="H22" s="10"/>
    </row>
    <row r="23" spans="1:8" x14ac:dyDescent="0.2">
      <c r="A23" s="4" t="s">
        <v>11</v>
      </c>
      <c r="B23">
        <v>26</v>
      </c>
      <c r="C23">
        <v>21</v>
      </c>
      <c r="D23">
        <f>AVERAGE(B23:C23)</f>
        <v>23.5</v>
      </c>
      <c r="E23" s="4">
        <v>1000</v>
      </c>
      <c r="F23" s="4">
        <f>1703.1-1683.8</f>
        <v>19.299999999999955</v>
      </c>
      <c r="G23" s="10">
        <f>LOG10(D23*100*E23/F23*1000)</f>
        <v>8.0855105532639637</v>
      </c>
      <c r="H23" s="10"/>
    </row>
    <row r="24" spans="1:8" ht="16" customHeight="1" x14ac:dyDescent="0.2">
      <c r="A24" s="4" t="s">
        <v>12</v>
      </c>
      <c r="B24">
        <v>24</v>
      </c>
      <c r="C24">
        <v>27</v>
      </c>
      <c r="D24">
        <f t="shared" ref="D24:D27" si="6">AVERAGE(B24:C24)</f>
        <v>25.5</v>
      </c>
      <c r="E24" s="4">
        <v>10000</v>
      </c>
      <c r="F24" s="4">
        <f>1803.9-1767.1</f>
        <v>36.800000000000182</v>
      </c>
      <c r="G24" s="10">
        <f>LOG10(D24*100*E24/F24*1000)</f>
        <v>8.8406923617604356</v>
      </c>
      <c r="H24" s="10"/>
    </row>
    <row r="25" spans="1:8" ht="16" customHeight="1" x14ac:dyDescent="0.2">
      <c r="A25" s="4" t="s">
        <v>9</v>
      </c>
      <c r="B25">
        <v>10</v>
      </c>
      <c r="C25">
        <v>20</v>
      </c>
      <c r="D25">
        <f t="shared" si="6"/>
        <v>15</v>
      </c>
      <c r="E25" s="4">
        <v>1000</v>
      </c>
      <c r="F25" s="4">
        <f>1792-1778.3</f>
        <v>13.700000000000045</v>
      </c>
      <c r="G25" s="10">
        <f t="shared" ref="G25:G27" si="7">LOG10(D25*100*E25/F25*1000)</f>
        <v>8.0393706918992738</v>
      </c>
      <c r="H25" s="10"/>
    </row>
    <row r="26" spans="1:8" x14ac:dyDescent="0.2">
      <c r="A26" s="4" t="s">
        <v>14</v>
      </c>
      <c r="B26">
        <v>31</v>
      </c>
      <c r="C26">
        <v>35</v>
      </c>
      <c r="D26">
        <f t="shared" si="6"/>
        <v>33</v>
      </c>
      <c r="E26" s="4">
        <v>100</v>
      </c>
      <c r="F26" s="4">
        <f>1802.1-1707.6</f>
        <v>94.5</v>
      </c>
      <c r="G26" s="10">
        <f t="shared" si="7"/>
        <v>6.5430821313686245</v>
      </c>
      <c r="H26" s="10"/>
    </row>
    <row r="27" spans="1:8" ht="17" x14ac:dyDescent="0.2">
      <c r="A27" s="6" t="s">
        <v>13</v>
      </c>
      <c r="B27" s="8">
        <v>21</v>
      </c>
      <c r="C27" s="8">
        <v>14</v>
      </c>
      <c r="D27">
        <f t="shared" si="6"/>
        <v>17.5</v>
      </c>
      <c r="E27" s="6">
        <v>1</v>
      </c>
      <c r="F27" s="6">
        <f>1910.5-1799.6</f>
        <v>110.90000000000009</v>
      </c>
      <c r="G27" s="10">
        <f t="shared" si="7"/>
        <v>4.1981065025371338</v>
      </c>
      <c r="H27" s="10"/>
    </row>
    <row r="28" spans="1:8" x14ac:dyDescent="0.2">
      <c r="A28" s="4"/>
      <c r="E28" s="4"/>
      <c r="F28" s="4"/>
      <c r="G28" s="10"/>
      <c r="H28" s="10"/>
    </row>
    <row r="29" spans="1:8" ht="51" x14ac:dyDescent="0.2">
      <c r="A29" s="2" t="s">
        <v>24</v>
      </c>
      <c r="B29" s="49" t="s">
        <v>0</v>
      </c>
      <c r="C29" s="49"/>
      <c r="D29" s="6" t="s">
        <v>1</v>
      </c>
      <c r="E29" s="6" t="s">
        <v>4</v>
      </c>
      <c r="F29" s="6" t="s">
        <v>2</v>
      </c>
      <c r="G29" s="9" t="s">
        <v>3</v>
      </c>
      <c r="H29" s="10"/>
    </row>
    <row r="30" spans="1:8" x14ac:dyDescent="0.2">
      <c r="A30" s="4" t="s">
        <v>11</v>
      </c>
      <c r="B30">
        <v>39</v>
      </c>
      <c r="C30">
        <v>57</v>
      </c>
      <c r="D30">
        <f>AVERAGE(B30:C30)</f>
        <v>48</v>
      </c>
      <c r="E30" s="4">
        <v>1000</v>
      </c>
      <c r="F30" s="4">
        <f>1798.1-1771.4</f>
        <v>26.699999999999818</v>
      </c>
      <c r="G30" s="10">
        <f>LOG10(D30*100*E30/F30*1000)</f>
        <v>8.2547299760110153</v>
      </c>
      <c r="H30" s="10"/>
    </row>
    <row r="31" spans="1:8" x14ac:dyDescent="0.2">
      <c r="A31" s="4" t="s">
        <v>12</v>
      </c>
      <c r="B31">
        <v>17</v>
      </c>
      <c r="C31">
        <v>25</v>
      </c>
      <c r="D31">
        <f t="shared" ref="D31:D34" si="8">AVERAGE(B31:C31)</f>
        <v>21</v>
      </c>
      <c r="E31" s="4">
        <v>10000</v>
      </c>
      <c r="F31" s="4">
        <f>1741.2-1704.1</f>
        <v>37.100000000000136</v>
      </c>
      <c r="G31" s="10">
        <f>LOG10(D31*100*E31/F31*1000)</f>
        <v>8.7528453851188726</v>
      </c>
      <c r="H31" s="10"/>
    </row>
    <row r="32" spans="1:8" x14ac:dyDescent="0.2">
      <c r="A32" s="4" t="s">
        <v>9</v>
      </c>
      <c r="B32">
        <v>39</v>
      </c>
      <c r="C32">
        <v>43</v>
      </c>
      <c r="D32">
        <f t="shared" si="8"/>
        <v>41</v>
      </c>
      <c r="E32" s="4">
        <v>1000</v>
      </c>
      <c r="F32" s="4">
        <f>1777.9-1721</f>
        <v>56.900000000000091</v>
      </c>
      <c r="G32" s="10">
        <f t="shared" ref="G32:G34" si="9">LOG10(D32*100*E32/F32*1000)</f>
        <v>7.8576715903246637</v>
      </c>
      <c r="H32" s="10"/>
    </row>
    <row r="33" spans="1:8" x14ac:dyDescent="0.2">
      <c r="A33" s="4" t="s">
        <v>14</v>
      </c>
      <c r="B33">
        <v>68</v>
      </c>
      <c r="C33">
        <v>71</v>
      </c>
      <c r="D33">
        <f t="shared" si="8"/>
        <v>69.5</v>
      </c>
      <c r="E33" s="4">
        <v>10</v>
      </c>
      <c r="F33" s="4">
        <f>1846.9-1711.6</f>
        <v>135.30000000000018</v>
      </c>
      <c r="G33" s="10">
        <f t="shared" si="9"/>
        <v>5.7106870079924903</v>
      </c>
      <c r="H33" s="9"/>
    </row>
    <row r="34" spans="1:8" ht="17" x14ac:dyDescent="0.2">
      <c r="A34" s="6" t="s">
        <v>13</v>
      </c>
      <c r="B34" s="8">
        <v>40</v>
      </c>
      <c r="C34" s="8">
        <v>48</v>
      </c>
      <c r="D34">
        <f t="shared" si="8"/>
        <v>44</v>
      </c>
      <c r="E34" s="6">
        <v>1</v>
      </c>
      <c r="F34" s="6">
        <f>1774.1-1703.8</f>
        <v>70.299999999999955</v>
      </c>
      <c r="G34" s="10">
        <f t="shared" si="9"/>
        <v>4.796497351466364</v>
      </c>
      <c r="H34" s="10"/>
    </row>
    <row r="35" spans="1:8" s="34" customFormat="1" x14ac:dyDescent="0.2">
      <c r="A35" s="33"/>
      <c r="E35" s="33"/>
      <c r="F35" s="33"/>
      <c r="G35" s="35"/>
      <c r="H35" s="35"/>
    </row>
    <row r="36" spans="1:8" ht="51" x14ac:dyDescent="0.2">
      <c r="A36" s="2" t="s">
        <v>25</v>
      </c>
      <c r="B36" s="49" t="s">
        <v>0</v>
      </c>
      <c r="C36" s="49"/>
      <c r="D36" s="6" t="s">
        <v>1</v>
      </c>
      <c r="E36" s="6" t="s">
        <v>4</v>
      </c>
      <c r="F36" s="6" t="s">
        <v>2</v>
      </c>
      <c r="G36" s="9" t="s">
        <v>3</v>
      </c>
      <c r="H36" s="10"/>
    </row>
    <row r="37" spans="1:8" x14ac:dyDescent="0.2">
      <c r="A37" s="4" t="s">
        <v>11</v>
      </c>
      <c r="B37">
        <v>51</v>
      </c>
      <c r="C37">
        <v>64</v>
      </c>
      <c r="D37">
        <f>AVERAGE(B37:C37)</f>
        <v>57.5</v>
      </c>
      <c r="E37" s="4">
        <v>100</v>
      </c>
      <c r="F37" s="4">
        <f>1769.8-1746</f>
        <v>23.799999999999955</v>
      </c>
      <c r="G37" s="10">
        <f>LOG10(D37*100*E37/F37*1000)</f>
        <v>7.3830908876331192</v>
      </c>
      <c r="H37" s="10"/>
    </row>
    <row r="38" spans="1:8" x14ac:dyDescent="0.2">
      <c r="A38" s="4" t="s">
        <v>12</v>
      </c>
      <c r="B38">
        <v>33</v>
      </c>
      <c r="C38">
        <v>41</v>
      </c>
      <c r="D38">
        <f t="shared" ref="D38:D41" si="10">AVERAGE(B38:C38)</f>
        <v>37</v>
      </c>
      <c r="E38" s="4">
        <v>10000</v>
      </c>
      <c r="F38" s="4">
        <f>1739.2-1685.3</f>
        <v>53.900000000000091</v>
      </c>
      <c r="G38" s="10">
        <f>LOG10(D38*100*E38/F38*1000)</f>
        <v>8.8366129588802558</v>
      </c>
      <c r="H38" s="10"/>
    </row>
    <row r="39" spans="1:8" x14ac:dyDescent="0.2">
      <c r="A39" s="4" t="s">
        <v>9</v>
      </c>
      <c r="B39">
        <v>16</v>
      </c>
      <c r="C39">
        <v>15</v>
      </c>
      <c r="D39">
        <f t="shared" si="10"/>
        <v>15.5</v>
      </c>
      <c r="E39" s="4">
        <v>100000</v>
      </c>
      <c r="F39" s="4">
        <f>1775.2-1723.3</f>
        <v>51.900000000000091</v>
      </c>
      <c r="G39" s="10">
        <f t="shared" ref="G39:G41" si="11">LOG10(D39*100*E39/F39*1000)</f>
        <v>9.4751643403218324</v>
      </c>
      <c r="H39" s="10"/>
    </row>
    <row r="40" spans="1:8" x14ac:dyDescent="0.2">
      <c r="A40" s="4" t="s">
        <v>14</v>
      </c>
      <c r="B40">
        <v>59</v>
      </c>
      <c r="C40">
        <v>63</v>
      </c>
      <c r="D40">
        <f t="shared" si="10"/>
        <v>61</v>
      </c>
      <c r="E40" s="4">
        <v>1000</v>
      </c>
      <c r="F40" s="4">
        <f>1752-1700.9</f>
        <v>51.099999999999909</v>
      </c>
      <c r="G40" s="10">
        <f t="shared" si="11"/>
        <v>8.0769089348760552</v>
      </c>
      <c r="H40" s="10"/>
    </row>
    <row r="41" spans="1:8" ht="17" x14ac:dyDescent="0.2">
      <c r="A41" s="6" t="s">
        <v>13</v>
      </c>
      <c r="B41" s="8">
        <v>18</v>
      </c>
      <c r="C41" s="8">
        <v>19</v>
      </c>
      <c r="D41">
        <f t="shared" si="10"/>
        <v>18.5</v>
      </c>
      <c r="E41" s="6">
        <v>100</v>
      </c>
      <c r="F41" s="6">
        <f>1813.1-1714.2</f>
        <v>98.899999999999864</v>
      </c>
      <c r="G41" s="10">
        <f t="shared" si="11"/>
        <v>6.2719754368058354</v>
      </c>
      <c r="H41" s="10"/>
    </row>
    <row r="42" spans="1:8" x14ac:dyDescent="0.2">
      <c r="A42" s="4"/>
      <c r="E42" s="4"/>
      <c r="F42" s="4"/>
      <c r="G42" s="10"/>
      <c r="H42" s="10"/>
    </row>
    <row r="43" spans="1:8" ht="51" x14ac:dyDescent="0.2">
      <c r="A43" s="2" t="s">
        <v>26</v>
      </c>
      <c r="B43" s="49" t="s">
        <v>0</v>
      </c>
      <c r="C43" s="49"/>
      <c r="D43" s="6" t="s">
        <v>1</v>
      </c>
      <c r="E43" s="6" t="s">
        <v>4</v>
      </c>
      <c r="F43" s="6" t="s">
        <v>2</v>
      </c>
      <c r="G43" s="9" t="s">
        <v>3</v>
      </c>
      <c r="H43" s="10"/>
    </row>
    <row r="44" spans="1:8" x14ac:dyDescent="0.2">
      <c r="A44" s="4" t="s">
        <v>11</v>
      </c>
      <c r="B44">
        <v>14</v>
      </c>
      <c r="C44">
        <v>14</v>
      </c>
      <c r="D44">
        <f>AVERAGE(B44:C44)</f>
        <v>14</v>
      </c>
      <c r="E44" s="4">
        <v>1000</v>
      </c>
      <c r="F44" s="4">
        <f>1714-1691</f>
        <v>23</v>
      </c>
      <c r="G44" s="10">
        <f>LOG10(D44*100*E44/F44*1000)</f>
        <v>7.7844001996606451</v>
      </c>
      <c r="H44" s="10"/>
    </row>
    <row r="45" spans="1:8" x14ac:dyDescent="0.2">
      <c r="A45" s="4" t="s">
        <v>12</v>
      </c>
      <c r="B45">
        <v>9</v>
      </c>
      <c r="C45">
        <v>17</v>
      </c>
      <c r="D45">
        <f t="shared" ref="D45:D48" si="12">AVERAGE(B45:C45)</f>
        <v>13</v>
      </c>
      <c r="E45" s="4">
        <v>10000</v>
      </c>
      <c r="F45" s="4">
        <f>1716.9-1692.3</f>
        <v>24.600000000000136</v>
      </c>
      <c r="G45" s="10">
        <f>LOG10(D45*100*E45/F45*1000)</f>
        <v>8.7230082452034559</v>
      </c>
      <c r="H45" s="10"/>
    </row>
    <row r="46" spans="1:8" x14ac:dyDescent="0.2">
      <c r="A46" s="4" t="s">
        <v>9</v>
      </c>
      <c r="B46">
        <v>17</v>
      </c>
      <c r="C46">
        <v>19</v>
      </c>
      <c r="D46">
        <f t="shared" si="12"/>
        <v>18</v>
      </c>
      <c r="E46" s="4">
        <v>10000</v>
      </c>
      <c r="F46" s="4">
        <f>1738.6-1641.2</f>
        <v>97.399999999999864</v>
      </c>
      <c r="G46" s="10">
        <f t="shared" ref="G46:G48" si="13">LOG10(D46*100*E46/F46*1000)</f>
        <v>8.2667135482246916</v>
      </c>
      <c r="H46" s="10"/>
    </row>
    <row r="47" spans="1:8" x14ac:dyDescent="0.2">
      <c r="A47" s="4" t="s">
        <v>14</v>
      </c>
      <c r="B47">
        <v>11</v>
      </c>
      <c r="C47">
        <v>11</v>
      </c>
      <c r="D47">
        <f t="shared" si="12"/>
        <v>11</v>
      </c>
      <c r="E47" s="4">
        <v>1000</v>
      </c>
      <c r="F47" s="4">
        <f>1802.9-1726</f>
        <v>76.900000000000091</v>
      </c>
      <c r="G47" s="10">
        <f t="shared" si="13"/>
        <v>7.1554663453567935</v>
      </c>
      <c r="H47" s="10"/>
    </row>
    <row r="48" spans="1:8" ht="17" x14ac:dyDescent="0.2">
      <c r="A48" s="6" t="s">
        <v>13</v>
      </c>
      <c r="B48" s="8">
        <v>10</v>
      </c>
      <c r="C48" s="8">
        <v>9</v>
      </c>
      <c r="D48">
        <f t="shared" si="12"/>
        <v>9.5</v>
      </c>
      <c r="E48" s="6">
        <v>1000</v>
      </c>
      <c r="F48" s="6">
        <f>1855.6-1774.7</f>
        <v>80.899999999999864</v>
      </c>
      <c r="G48" s="10">
        <f t="shared" si="13"/>
        <v>7.0697750836765758</v>
      </c>
      <c r="H48" s="10"/>
    </row>
    <row r="49" spans="1:8" x14ac:dyDescent="0.2">
      <c r="A49" s="12"/>
      <c r="B49" s="49"/>
      <c r="C49" s="49"/>
      <c r="D49" s="6"/>
      <c r="E49" s="6"/>
      <c r="F49" s="6"/>
      <c r="G49" s="9"/>
      <c r="H49" s="10"/>
    </row>
    <row r="50" spans="1:8" ht="51" x14ac:dyDescent="0.2">
      <c r="A50" s="2" t="s">
        <v>27</v>
      </c>
      <c r="B50" s="49" t="s">
        <v>0</v>
      </c>
      <c r="C50" s="49"/>
      <c r="D50" s="6" t="s">
        <v>1</v>
      </c>
      <c r="E50" s="6" t="s">
        <v>4</v>
      </c>
      <c r="F50" s="6" t="s">
        <v>2</v>
      </c>
      <c r="G50" s="9" t="s">
        <v>3</v>
      </c>
      <c r="H50" s="10"/>
    </row>
    <row r="51" spans="1:8" x14ac:dyDescent="0.2">
      <c r="A51" s="4" t="s">
        <v>11</v>
      </c>
      <c r="B51">
        <v>64</v>
      </c>
      <c r="C51">
        <v>53</v>
      </c>
      <c r="D51">
        <f>AVERAGE(B51:C51)</f>
        <v>58.5</v>
      </c>
      <c r="E51" s="4">
        <v>1000</v>
      </c>
      <c r="F51" s="4">
        <f>1829.8-1808.4</f>
        <v>21.399999999999864</v>
      </c>
      <c r="G51" s="10">
        <f>LOG10(D51*100*E51/F51*1000)</f>
        <v>8.4367420927329917</v>
      </c>
      <c r="H51" s="10"/>
    </row>
    <row r="52" spans="1:8" x14ac:dyDescent="0.2">
      <c r="A52" s="4" t="s">
        <v>12</v>
      </c>
      <c r="B52">
        <v>19</v>
      </c>
      <c r="C52">
        <v>22</v>
      </c>
      <c r="D52">
        <f t="shared" ref="D52:D55" si="14">AVERAGE(B52:C52)</f>
        <v>20.5</v>
      </c>
      <c r="E52" s="4">
        <v>10000</v>
      </c>
      <c r="F52" s="4">
        <f>1752.9-1722.3</f>
        <v>30.600000000000136</v>
      </c>
      <c r="G52" s="10">
        <f>LOG10(D52*100*E52/F52*1000)</f>
        <v>8.8260324345741719</v>
      </c>
      <c r="H52" s="10"/>
    </row>
    <row r="53" spans="1:8" x14ac:dyDescent="0.2">
      <c r="A53" s="4" t="s">
        <v>9</v>
      </c>
      <c r="B53">
        <v>50</v>
      </c>
      <c r="C53">
        <v>48</v>
      </c>
      <c r="D53">
        <f t="shared" si="14"/>
        <v>49</v>
      </c>
      <c r="E53" s="4">
        <v>10000</v>
      </c>
      <c r="F53" s="4">
        <f>1734.5-1704.3</f>
        <v>30.200000000000045</v>
      </c>
      <c r="G53" s="10">
        <f t="shared" ref="G53:G55" si="15">LOG10(D53*100*E53/F53*1000)</f>
        <v>9.210189137071362</v>
      </c>
      <c r="H53" s="10"/>
    </row>
    <row r="54" spans="1:8" x14ac:dyDescent="0.2">
      <c r="A54" s="4" t="s">
        <v>14</v>
      </c>
      <c r="B54">
        <v>23</v>
      </c>
      <c r="C54">
        <v>12</v>
      </c>
      <c r="D54">
        <f t="shared" si="14"/>
        <v>17.5</v>
      </c>
      <c r="E54" s="4">
        <v>1000</v>
      </c>
      <c r="F54" s="4">
        <f>1737.5-1716.4</f>
        <v>21.099999999999909</v>
      </c>
      <c r="G54" s="10">
        <f t="shared" si="15"/>
        <v>7.918755593388604</v>
      </c>
      <c r="H54" s="10"/>
    </row>
    <row r="55" spans="1:8" ht="17" x14ac:dyDescent="0.2">
      <c r="A55" s="6" t="s">
        <v>13</v>
      </c>
      <c r="B55" s="8">
        <v>48</v>
      </c>
      <c r="C55" s="8">
        <v>44</v>
      </c>
      <c r="D55">
        <f t="shared" si="14"/>
        <v>46</v>
      </c>
      <c r="E55" s="6">
        <v>100</v>
      </c>
      <c r="F55" s="6">
        <f>1924.3-1844</f>
        <v>80.299999999999955</v>
      </c>
      <c r="G55" s="10">
        <f t="shared" si="15"/>
        <v>6.7580422864028931</v>
      </c>
      <c r="H55" s="10"/>
    </row>
    <row r="56" spans="1:8" x14ac:dyDescent="0.2">
      <c r="A56" s="4"/>
      <c r="E56" s="4"/>
      <c r="F56" s="4"/>
      <c r="G56" s="10"/>
      <c r="H56" s="10"/>
    </row>
    <row r="57" spans="1:8" ht="51" x14ac:dyDescent="0.2">
      <c r="A57" s="2" t="s">
        <v>28</v>
      </c>
      <c r="B57" s="49" t="s">
        <v>0</v>
      </c>
      <c r="C57" s="49"/>
      <c r="D57" s="6" t="s">
        <v>1</v>
      </c>
      <c r="E57" s="6" t="s">
        <v>4</v>
      </c>
      <c r="F57" s="6" t="s">
        <v>2</v>
      </c>
      <c r="G57" s="9" t="s">
        <v>3</v>
      </c>
      <c r="H57" s="10"/>
    </row>
    <row r="58" spans="1:8" x14ac:dyDescent="0.2">
      <c r="A58" s="4" t="s">
        <v>40</v>
      </c>
      <c r="D58" t="e">
        <f>AVERAGE(B58:C58)</f>
        <v>#DIV/0!</v>
      </c>
      <c r="E58" s="4"/>
      <c r="F58" s="4"/>
      <c r="G58" s="10"/>
      <c r="H58" s="10"/>
    </row>
    <row r="59" spans="1:8" x14ac:dyDescent="0.2">
      <c r="A59" s="4" t="s">
        <v>12</v>
      </c>
      <c r="B59">
        <v>12</v>
      </c>
      <c r="C59">
        <v>15</v>
      </c>
      <c r="D59">
        <f t="shared" ref="D59:D62" si="16">AVERAGE(B59:C59)</f>
        <v>13.5</v>
      </c>
      <c r="E59" s="4">
        <v>10000</v>
      </c>
      <c r="F59" s="4">
        <f>1711.6-1697.5</f>
        <v>14.099999999999909</v>
      </c>
      <c r="G59" s="10">
        <f>LOG10(D59*100*E59/F59*1000)</f>
        <v>8.9811146558396295</v>
      </c>
      <c r="H59" s="10"/>
    </row>
    <row r="60" spans="1:8" x14ac:dyDescent="0.2">
      <c r="A60" s="4" t="s">
        <v>9</v>
      </c>
      <c r="B60">
        <v>27</v>
      </c>
      <c r="C60">
        <v>33</v>
      </c>
      <c r="D60">
        <f t="shared" si="16"/>
        <v>30</v>
      </c>
      <c r="E60" s="4">
        <v>100000</v>
      </c>
      <c r="F60" s="4">
        <f>1753.1-1714</f>
        <v>39.099999999999909</v>
      </c>
      <c r="G60" s="10">
        <f t="shared" ref="G60:G62" si="17">LOG10(D60*100*E60/F60*1000)</f>
        <v>9.8849444973237972</v>
      </c>
      <c r="H60" s="10"/>
    </row>
    <row r="61" spans="1:8" x14ac:dyDescent="0.2">
      <c r="A61" s="4" t="s">
        <v>14</v>
      </c>
      <c r="B61">
        <v>46</v>
      </c>
      <c r="C61">
        <v>47</v>
      </c>
      <c r="D61">
        <f t="shared" si="16"/>
        <v>46.5</v>
      </c>
      <c r="E61" s="4">
        <v>10000</v>
      </c>
      <c r="F61" s="4">
        <f>1738-1717.3</f>
        <v>20.700000000000045</v>
      </c>
      <c r="G61" s="10">
        <f t="shared" si="17"/>
        <v>9.3514826074330344</v>
      </c>
      <c r="H61" s="10"/>
    </row>
    <row r="62" spans="1:8" ht="17" x14ac:dyDescent="0.2">
      <c r="A62" s="6" t="s">
        <v>13</v>
      </c>
      <c r="B62" s="8">
        <v>13</v>
      </c>
      <c r="C62" s="8">
        <v>17</v>
      </c>
      <c r="D62">
        <f t="shared" si="16"/>
        <v>15</v>
      </c>
      <c r="E62" s="6">
        <v>10000</v>
      </c>
      <c r="F62" s="6">
        <f>1725.8-1711.9</f>
        <v>13.899999999999864</v>
      </c>
      <c r="G62" s="10">
        <f t="shared" si="17"/>
        <v>9.0330764588015899</v>
      </c>
      <c r="H62" s="10"/>
    </row>
    <row r="63" spans="1:8" x14ac:dyDescent="0.2">
      <c r="A63" s="4"/>
      <c r="E63" s="4"/>
      <c r="F63" s="4"/>
      <c r="G63" s="10"/>
      <c r="H63" s="10"/>
    </row>
    <row r="64" spans="1:8" ht="51" x14ac:dyDescent="0.2">
      <c r="A64" s="2" t="s">
        <v>29</v>
      </c>
      <c r="B64" s="49" t="s">
        <v>0</v>
      </c>
      <c r="C64" s="49"/>
      <c r="D64" s="6" t="s">
        <v>1</v>
      </c>
      <c r="E64" s="6" t="s">
        <v>4</v>
      </c>
      <c r="F64" s="6" t="s">
        <v>2</v>
      </c>
      <c r="G64" s="9" t="s">
        <v>3</v>
      </c>
      <c r="H64" s="9"/>
    </row>
    <row r="65" spans="1:8" x14ac:dyDescent="0.2">
      <c r="A65" s="4" t="s">
        <v>11</v>
      </c>
      <c r="B65">
        <v>31</v>
      </c>
      <c r="C65">
        <v>21</v>
      </c>
      <c r="D65">
        <f>AVERAGE(B65:C65)</f>
        <v>26</v>
      </c>
      <c r="E65" s="4">
        <v>1000</v>
      </c>
      <c r="F65" s="4">
        <f>1810.3-1777.7</f>
        <v>32.599999999999909</v>
      </c>
      <c r="G65" s="10">
        <f>LOG10(D65*100*E65/F65*1000)</f>
        <v>7.9017557479028797</v>
      </c>
      <c r="H65" s="10"/>
    </row>
    <row r="66" spans="1:8" x14ac:dyDescent="0.2">
      <c r="A66" s="4" t="s">
        <v>12</v>
      </c>
      <c r="B66">
        <v>21</v>
      </c>
      <c r="C66">
        <v>21</v>
      </c>
      <c r="D66">
        <f t="shared" ref="D66:D69" si="18">AVERAGE(B66:C66)</f>
        <v>21</v>
      </c>
      <c r="E66" s="4">
        <v>10000</v>
      </c>
      <c r="F66" s="4">
        <f>1808-1746.1</f>
        <v>61.900000000000091</v>
      </c>
      <c r="G66" s="10">
        <f>LOG10(D66*100*E66/F66*1000)</f>
        <v>8.530528645713801</v>
      </c>
      <c r="H66" s="10"/>
    </row>
    <row r="67" spans="1:8" x14ac:dyDescent="0.2">
      <c r="A67" s="4" t="s">
        <v>9</v>
      </c>
      <c r="B67">
        <v>16</v>
      </c>
      <c r="C67">
        <v>11</v>
      </c>
      <c r="D67">
        <f t="shared" si="18"/>
        <v>13.5</v>
      </c>
      <c r="E67" s="4">
        <v>1000</v>
      </c>
      <c r="F67" s="4">
        <f>1808.1-1787.2</f>
        <v>20.899999999999864</v>
      </c>
      <c r="G67" s="10">
        <f t="shared" ref="G67:G69" si="19">LOG10(D67*100*E67/F67*1000)</f>
        <v>7.810187482383955</v>
      </c>
      <c r="H67" s="10"/>
    </row>
    <row r="68" spans="1:8" x14ac:dyDescent="0.2">
      <c r="A68" s="4" t="s">
        <v>14</v>
      </c>
      <c r="B68">
        <v>9</v>
      </c>
      <c r="C68">
        <v>13</v>
      </c>
      <c r="D68">
        <f t="shared" si="18"/>
        <v>11</v>
      </c>
      <c r="E68" s="4">
        <v>10</v>
      </c>
      <c r="F68" s="4">
        <f>1756.2-1656.7</f>
        <v>99.5</v>
      </c>
      <c r="G68" s="10">
        <f t="shared" si="19"/>
        <v>5.0435696044124994</v>
      </c>
      <c r="H68" s="10"/>
    </row>
    <row r="69" spans="1:8" ht="17" x14ac:dyDescent="0.2">
      <c r="A69" s="6" t="s">
        <v>13</v>
      </c>
      <c r="B69" s="8">
        <v>30</v>
      </c>
      <c r="C69" s="8">
        <v>28</v>
      </c>
      <c r="D69">
        <f t="shared" si="18"/>
        <v>29</v>
      </c>
      <c r="E69" s="6">
        <v>10</v>
      </c>
      <c r="F69" s="6">
        <f>1818.3-1790.1</f>
        <v>28.200000000000045</v>
      </c>
      <c r="G69" s="10">
        <f t="shared" si="19"/>
        <v>6.0121488895795938</v>
      </c>
      <c r="H69" s="10"/>
    </row>
    <row r="70" spans="1:8" s="34" customFormat="1" x14ac:dyDescent="0.2">
      <c r="A70" s="33"/>
      <c r="E70" s="33"/>
      <c r="F70" s="33"/>
      <c r="G70" s="35"/>
      <c r="H70" s="35"/>
    </row>
    <row r="71" spans="1:8" ht="51" x14ac:dyDescent="0.2">
      <c r="A71" s="2" t="s">
        <v>30</v>
      </c>
      <c r="B71" s="49" t="s">
        <v>0</v>
      </c>
      <c r="C71" s="49"/>
      <c r="D71" s="6" t="s">
        <v>1</v>
      </c>
      <c r="E71" s="6" t="s">
        <v>4</v>
      </c>
      <c r="F71" s="6" t="s">
        <v>2</v>
      </c>
      <c r="G71" s="9" t="s">
        <v>3</v>
      </c>
      <c r="H71" s="10"/>
    </row>
    <row r="72" spans="1:8" x14ac:dyDescent="0.2">
      <c r="A72" s="4" t="s">
        <v>11</v>
      </c>
      <c r="B72">
        <v>43</v>
      </c>
      <c r="C72">
        <v>42</v>
      </c>
      <c r="D72">
        <f>AVERAGE(B72:C72)</f>
        <v>42.5</v>
      </c>
      <c r="E72" s="4">
        <v>100</v>
      </c>
      <c r="F72" s="4">
        <f>1852.1-1845.5</f>
        <v>6.5999999999999091</v>
      </c>
      <c r="G72" s="10">
        <f>LOG10(D72*100*E72/F72*1000)</f>
        <v>7.8088449945084486</v>
      </c>
      <c r="H72" s="10"/>
    </row>
    <row r="73" spans="1:8" x14ac:dyDescent="0.2">
      <c r="A73" s="4" t="s">
        <v>12</v>
      </c>
      <c r="B73">
        <v>19</v>
      </c>
      <c r="C73">
        <v>15</v>
      </c>
      <c r="D73">
        <f t="shared" ref="D73:D76" si="20">AVERAGE(B73:C73)</f>
        <v>17</v>
      </c>
      <c r="E73" s="4">
        <v>10000</v>
      </c>
      <c r="F73" s="4">
        <f>1860-1806.4</f>
        <v>53.599999999999909</v>
      </c>
      <c r="G73" s="10">
        <f>LOG10(D73*100*E73/F73*1000)</f>
        <v>8.5012841316855052</v>
      </c>
      <c r="H73" s="10"/>
    </row>
    <row r="74" spans="1:8" x14ac:dyDescent="0.2">
      <c r="A74" s="4" t="s">
        <v>9</v>
      </c>
      <c r="B74">
        <v>29</v>
      </c>
      <c r="C74">
        <v>27</v>
      </c>
      <c r="D74">
        <f t="shared" si="20"/>
        <v>28</v>
      </c>
      <c r="E74" s="4">
        <v>1000</v>
      </c>
      <c r="F74" s="4">
        <f>1816.8-1714</f>
        <v>102.79999999999995</v>
      </c>
      <c r="G74" s="10">
        <f t="shared" ref="G74:G76" si="21">LOG10(D74*100*E74/F74*1000)</f>
        <v>7.4351649166829628</v>
      </c>
      <c r="H74" s="10"/>
    </row>
    <row r="75" spans="1:8" x14ac:dyDescent="0.2">
      <c r="A75" s="4" t="s">
        <v>14</v>
      </c>
      <c r="B75">
        <v>23</v>
      </c>
      <c r="C75">
        <v>21</v>
      </c>
      <c r="D75">
        <f t="shared" si="20"/>
        <v>22</v>
      </c>
      <c r="E75" s="4">
        <v>100</v>
      </c>
      <c r="F75" s="4">
        <f>1821.9-1732.4</f>
        <v>89.5</v>
      </c>
      <c r="G75" s="10">
        <f t="shared" si="21"/>
        <v>6.3905996455062946</v>
      </c>
      <c r="H75" s="10"/>
    </row>
    <row r="76" spans="1:8" ht="17" x14ac:dyDescent="0.2">
      <c r="A76" s="6" t="s">
        <v>13</v>
      </c>
      <c r="B76" s="8">
        <v>42</v>
      </c>
      <c r="C76" s="8">
        <v>42</v>
      </c>
      <c r="D76">
        <f t="shared" si="20"/>
        <v>42</v>
      </c>
      <c r="E76" s="6">
        <v>1</v>
      </c>
      <c r="F76" s="6">
        <f>1819.4-1718.2</f>
        <v>101.20000000000005</v>
      </c>
      <c r="G76" s="10">
        <f t="shared" si="21"/>
        <v>4.6180687778941198</v>
      </c>
      <c r="H76" s="10"/>
    </row>
    <row r="77" spans="1:8" x14ac:dyDescent="0.2">
      <c r="A77" s="12"/>
      <c r="B77" s="49"/>
      <c r="C77" s="49"/>
      <c r="D77" s="6"/>
      <c r="E77" s="6"/>
      <c r="F77" s="6"/>
      <c r="G77" s="9"/>
      <c r="H77" s="10"/>
    </row>
    <row r="78" spans="1:8" ht="51" x14ac:dyDescent="0.2">
      <c r="A78" s="2" t="s">
        <v>31</v>
      </c>
      <c r="B78" s="49" t="s">
        <v>0</v>
      </c>
      <c r="C78" s="49"/>
      <c r="D78" s="6" t="s">
        <v>1</v>
      </c>
      <c r="E78" s="6" t="s">
        <v>4</v>
      </c>
      <c r="F78" s="6" t="s">
        <v>2</v>
      </c>
      <c r="G78" s="9" t="s">
        <v>3</v>
      </c>
      <c r="H78" s="10"/>
    </row>
    <row r="79" spans="1:8" x14ac:dyDescent="0.2">
      <c r="A79" s="4" t="s">
        <v>11</v>
      </c>
      <c r="B79">
        <v>49</v>
      </c>
      <c r="C79">
        <v>44</v>
      </c>
      <c r="D79">
        <f>AVERAGE(B79:C79)</f>
        <v>46.5</v>
      </c>
      <c r="E79" s="4">
        <v>1000</v>
      </c>
      <c r="F79" s="4">
        <f>1803.8-1765</f>
        <v>38.799999999999955</v>
      </c>
      <c r="G79" s="10">
        <f>LOG10(D79*100*E79/F79*1000)</f>
        <v>8.0786212272957467</v>
      </c>
      <c r="H79" s="10"/>
    </row>
    <row r="80" spans="1:8" x14ac:dyDescent="0.2">
      <c r="A80" s="4" t="s">
        <v>12</v>
      </c>
      <c r="B80">
        <v>19</v>
      </c>
      <c r="C80">
        <v>11</v>
      </c>
      <c r="D80">
        <f t="shared" ref="D80:D83" si="22">AVERAGE(B80:C80)</f>
        <v>15</v>
      </c>
      <c r="E80" s="4">
        <v>1000</v>
      </c>
      <c r="F80" s="4">
        <f>1804.3-1763.1</f>
        <v>41.200000000000045</v>
      </c>
      <c r="G80" s="10">
        <f>LOG10(D80*100*E80/F80*1000)</f>
        <v>7.5611940430225459</v>
      </c>
      <c r="H80" s="10"/>
    </row>
    <row r="81" spans="1:8" x14ac:dyDescent="0.2">
      <c r="A81" s="4" t="s">
        <v>9</v>
      </c>
      <c r="B81">
        <v>6</v>
      </c>
      <c r="C81">
        <v>13</v>
      </c>
      <c r="D81">
        <f t="shared" si="22"/>
        <v>9.5</v>
      </c>
      <c r="E81" s="4">
        <v>1000</v>
      </c>
      <c r="F81" s="4">
        <f>1786.5-1720.1</f>
        <v>66.400000000000091</v>
      </c>
      <c r="G81" s="10">
        <f t="shared" ref="G81:G83" si="23">LOG10(D81*100*E81/F81*1000)</f>
        <v>7.1555555259208292</v>
      </c>
      <c r="H81" s="10"/>
    </row>
    <row r="82" spans="1:8" x14ac:dyDescent="0.2">
      <c r="A82" s="4" t="s">
        <v>14</v>
      </c>
      <c r="B82">
        <v>22</v>
      </c>
      <c r="C82">
        <v>29</v>
      </c>
      <c r="D82">
        <f t="shared" si="22"/>
        <v>25.5</v>
      </c>
      <c r="E82" s="4">
        <v>10</v>
      </c>
      <c r="F82" s="4">
        <f>1742-1713</f>
        <v>29</v>
      </c>
      <c r="G82" s="10">
        <f t="shared" si="23"/>
        <v>5.9441421825349989</v>
      </c>
      <c r="H82" s="10"/>
    </row>
    <row r="83" spans="1:8" ht="17" x14ac:dyDescent="0.2">
      <c r="A83" s="6" t="s">
        <v>13</v>
      </c>
      <c r="B83" s="8">
        <v>47</v>
      </c>
      <c r="C83" s="8">
        <v>53</v>
      </c>
      <c r="D83">
        <f t="shared" si="22"/>
        <v>50</v>
      </c>
      <c r="E83" s="6">
        <v>10</v>
      </c>
      <c r="F83" s="6">
        <f>1840.5-1713</f>
        <v>127.5</v>
      </c>
      <c r="G83" s="10">
        <f t="shared" si="23"/>
        <v>5.5934598195660445</v>
      </c>
      <c r="H83" s="10"/>
    </row>
    <row r="84" spans="1:8" x14ac:dyDescent="0.2">
      <c r="A84" s="4"/>
      <c r="E84" s="4"/>
      <c r="F84" s="4"/>
      <c r="G84" s="10"/>
      <c r="H84" s="10"/>
    </row>
    <row r="85" spans="1:8" ht="51" x14ac:dyDescent="0.2">
      <c r="A85" s="2" t="s">
        <v>32</v>
      </c>
      <c r="B85" s="49" t="s">
        <v>0</v>
      </c>
      <c r="C85" s="49"/>
      <c r="D85" s="6" t="s">
        <v>1</v>
      </c>
      <c r="E85" s="6" t="s">
        <v>4</v>
      </c>
      <c r="F85" s="6" t="s">
        <v>2</v>
      </c>
      <c r="G85" s="9" t="s">
        <v>3</v>
      </c>
      <c r="H85" s="10"/>
    </row>
    <row r="86" spans="1:8" x14ac:dyDescent="0.2">
      <c r="A86" s="4" t="s">
        <v>11</v>
      </c>
      <c r="B86">
        <v>45</v>
      </c>
      <c r="C86">
        <v>37</v>
      </c>
      <c r="D86">
        <f>AVERAGE(B86:C86)</f>
        <v>41</v>
      </c>
      <c r="E86" s="4">
        <v>1000</v>
      </c>
      <c r="F86" s="4">
        <f>1720.4-1703.6</f>
        <v>16.800000000000182</v>
      </c>
      <c r="G86" s="10">
        <f>LOG10(D86*100*E86/F86*1000)</f>
        <v>8.3874745749938686</v>
      </c>
      <c r="H86" s="10"/>
    </row>
    <row r="87" spans="1:8" x14ac:dyDescent="0.2">
      <c r="A87" s="4" t="s">
        <v>12</v>
      </c>
      <c r="B87">
        <v>13</v>
      </c>
      <c r="C87">
        <v>16</v>
      </c>
      <c r="D87">
        <f t="shared" ref="D87:D90" si="24">AVERAGE(B87:C87)</f>
        <v>14.5</v>
      </c>
      <c r="E87" s="4">
        <v>10000</v>
      </c>
      <c r="F87" s="4">
        <f>1662.9-1634.1</f>
        <v>28.800000000000182</v>
      </c>
      <c r="G87" s="10">
        <f>LOG10(D87*100*E87/F87*1000)</f>
        <v>8.7019755144757411</v>
      </c>
      <c r="H87" s="10"/>
    </row>
    <row r="88" spans="1:8" x14ac:dyDescent="0.2">
      <c r="A88" s="4" t="s">
        <v>9</v>
      </c>
      <c r="B88">
        <v>24</v>
      </c>
      <c r="C88">
        <v>15</v>
      </c>
      <c r="D88">
        <f t="shared" si="24"/>
        <v>19.5</v>
      </c>
      <c r="E88" s="4">
        <v>10000</v>
      </c>
      <c r="F88" s="4">
        <f>1740.5-1719</f>
        <v>21.5</v>
      </c>
      <c r="G88" s="10">
        <f t="shared" ref="G88:G90" si="25">LOG10(D88*100*E88/F88*1000)</f>
        <v>8.9575961514469125</v>
      </c>
      <c r="H88" s="10"/>
    </row>
    <row r="89" spans="1:8" x14ac:dyDescent="0.2">
      <c r="A89" s="4" t="s">
        <v>14</v>
      </c>
      <c r="B89">
        <v>17</v>
      </c>
      <c r="C89">
        <v>16</v>
      </c>
      <c r="D89">
        <f t="shared" si="24"/>
        <v>16.5</v>
      </c>
      <c r="E89" s="4">
        <v>100</v>
      </c>
      <c r="F89" s="4">
        <f>1744.6-1727.5</f>
        <v>17.099999999999909</v>
      </c>
      <c r="G89" s="10">
        <f t="shared" si="25"/>
        <v>6.9844878338217544</v>
      </c>
      <c r="H89" s="10"/>
    </row>
    <row r="90" spans="1:8" ht="17" x14ac:dyDescent="0.2">
      <c r="A90" s="6" t="s">
        <v>13</v>
      </c>
      <c r="B90" s="8">
        <v>2</v>
      </c>
      <c r="C90" s="8">
        <v>0</v>
      </c>
      <c r="D90">
        <f t="shared" si="24"/>
        <v>1</v>
      </c>
      <c r="E90" s="6">
        <v>1</v>
      </c>
      <c r="F90" s="6">
        <f>1708.3-1639.8</f>
        <v>68.5</v>
      </c>
      <c r="G90" s="10">
        <f t="shared" si="25"/>
        <v>3.1643094285075746</v>
      </c>
      <c r="H90" s="10"/>
    </row>
    <row r="91" spans="1:8" x14ac:dyDescent="0.2">
      <c r="A91" s="4"/>
      <c r="E91" s="4"/>
      <c r="F91" s="4"/>
      <c r="G91" s="10"/>
      <c r="H91" s="10"/>
    </row>
    <row r="92" spans="1:8" ht="51" x14ac:dyDescent="0.2">
      <c r="A92" s="2" t="s">
        <v>33</v>
      </c>
      <c r="B92" s="49" t="s">
        <v>0</v>
      </c>
      <c r="C92" s="49"/>
      <c r="D92" s="6" t="s">
        <v>1</v>
      </c>
      <c r="E92" s="6" t="s">
        <v>4</v>
      </c>
      <c r="F92" s="6" t="s">
        <v>2</v>
      </c>
      <c r="G92" s="9" t="s">
        <v>3</v>
      </c>
      <c r="H92" s="10"/>
    </row>
    <row r="93" spans="1:8" x14ac:dyDescent="0.2">
      <c r="A93" s="4" t="s">
        <v>11</v>
      </c>
      <c r="B93">
        <v>59</v>
      </c>
      <c r="C93">
        <v>71</v>
      </c>
      <c r="D93">
        <f>AVERAGE(B93:C93)</f>
        <v>65</v>
      </c>
      <c r="E93" s="4">
        <v>100</v>
      </c>
      <c r="F93" s="4">
        <f>1912-1892</f>
        <v>20</v>
      </c>
      <c r="G93" s="10">
        <f>LOG10(D93*100*E93/F93*1000)</f>
        <v>7.5118833609788744</v>
      </c>
      <c r="H93" s="10"/>
    </row>
    <row r="94" spans="1:8" x14ac:dyDescent="0.2">
      <c r="A94" s="4" t="s">
        <v>12</v>
      </c>
      <c r="B94">
        <v>27</v>
      </c>
      <c r="C94">
        <v>17</v>
      </c>
      <c r="D94">
        <f t="shared" ref="D94:D97" si="26">AVERAGE(B94:C94)</f>
        <v>22</v>
      </c>
      <c r="E94" s="4">
        <v>10000</v>
      </c>
      <c r="F94" s="4">
        <f>1749.6-1724.7</f>
        <v>24.899999999999864</v>
      </c>
      <c r="G94" s="10">
        <f>LOG10(D94*100*E94/F94*1000)</f>
        <v>8.946223333726472</v>
      </c>
      <c r="H94" s="10"/>
    </row>
    <row r="95" spans="1:8" x14ac:dyDescent="0.2">
      <c r="A95" s="4" t="s">
        <v>9</v>
      </c>
      <c r="B95">
        <v>6</v>
      </c>
      <c r="C95">
        <v>10</v>
      </c>
      <c r="D95">
        <f t="shared" si="26"/>
        <v>8</v>
      </c>
      <c r="E95" s="4">
        <v>10000</v>
      </c>
      <c r="F95" s="4">
        <f>1741-1722.3</f>
        <v>18.700000000000045</v>
      </c>
      <c r="G95" s="10">
        <f t="shared" ref="G95:G97" si="27">LOG10(D95*100*E95/F95*1000)</f>
        <v>8.6312483804554443</v>
      </c>
      <c r="H95" s="10"/>
    </row>
    <row r="96" spans="1:8" x14ac:dyDescent="0.2">
      <c r="A96" s="4" t="s">
        <v>14</v>
      </c>
      <c r="B96">
        <v>15</v>
      </c>
      <c r="C96">
        <v>11</v>
      </c>
      <c r="D96">
        <f t="shared" si="26"/>
        <v>13</v>
      </c>
      <c r="E96" s="4">
        <v>100</v>
      </c>
      <c r="F96" s="4">
        <f>1736.7-1719.8</f>
        <v>16.900000000000091</v>
      </c>
      <c r="G96" s="10">
        <f t="shared" si="27"/>
        <v>6.8860566476931613</v>
      </c>
      <c r="H96" s="10"/>
    </row>
    <row r="97" spans="1:8" ht="17" x14ac:dyDescent="0.2">
      <c r="A97" s="6" t="s">
        <v>13</v>
      </c>
      <c r="B97" s="8">
        <v>33</v>
      </c>
      <c r="C97" s="8">
        <v>27</v>
      </c>
      <c r="D97">
        <f t="shared" si="26"/>
        <v>30</v>
      </c>
      <c r="E97" s="6">
        <v>10</v>
      </c>
      <c r="F97" s="6">
        <f>1756.4-1720</f>
        <v>36.400000000000091</v>
      </c>
      <c r="G97" s="10">
        <f t="shared" si="27"/>
        <v>5.9160198710706053</v>
      </c>
      <c r="H97" s="9"/>
    </row>
    <row r="98" spans="1:8" x14ac:dyDescent="0.2">
      <c r="A98" s="4"/>
      <c r="E98" s="4"/>
      <c r="F98" s="4"/>
      <c r="G98" s="10"/>
      <c r="H98" s="10"/>
    </row>
    <row r="99" spans="1:8" ht="51" x14ac:dyDescent="0.2">
      <c r="A99" s="2" t="s">
        <v>34</v>
      </c>
      <c r="B99" s="49" t="s">
        <v>0</v>
      </c>
      <c r="C99" s="49"/>
      <c r="D99" s="6" t="s">
        <v>1</v>
      </c>
      <c r="E99" s="6" t="s">
        <v>4</v>
      </c>
      <c r="F99" s="6" t="s">
        <v>2</v>
      </c>
      <c r="G99" s="9" t="s">
        <v>3</v>
      </c>
      <c r="H99" s="10"/>
    </row>
    <row r="100" spans="1:8" x14ac:dyDescent="0.2">
      <c r="A100" s="4" t="s">
        <v>11</v>
      </c>
      <c r="B100">
        <v>17</v>
      </c>
      <c r="C100">
        <v>12</v>
      </c>
      <c r="D100">
        <f>AVERAGE(B100:C100)</f>
        <v>14.5</v>
      </c>
      <c r="E100" s="4">
        <v>10000</v>
      </c>
      <c r="F100" s="4">
        <f>1800-1783.2</f>
        <v>16.799999999999955</v>
      </c>
      <c r="G100" s="10">
        <f>LOG10(D100*100*E100/F100*1000)</f>
        <v>8.9360587205091129</v>
      </c>
      <c r="H100" s="10"/>
    </row>
    <row r="101" spans="1:8" x14ac:dyDescent="0.2">
      <c r="A101" s="4" t="s">
        <v>12</v>
      </c>
      <c r="B101">
        <v>26</v>
      </c>
      <c r="C101">
        <v>24</v>
      </c>
      <c r="D101">
        <f t="shared" ref="D101:D104" si="28">AVERAGE(B101:C101)</f>
        <v>25</v>
      </c>
      <c r="E101" s="4">
        <v>10000</v>
      </c>
      <c r="F101" s="4">
        <f>1828.9-1793.3</f>
        <v>35.600000000000136</v>
      </c>
      <c r="G101" s="10">
        <f>LOG10(D101*100*E101/F101*1000)</f>
        <v>8.84649001069916</v>
      </c>
      <c r="H101" s="10"/>
    </row>
    <row r="102" spans="1:8" x14ac:dyDescent="0.2">
      <c r="A102" s="4" t="s">
        <v>9</v>
      </c>
      <c r="B102">
        <v>13</v>
      </c>
      <c r="C102">
        <v>12</v>
      </c>
      <c r="D102">
        <f t="shared" si="28"/>
        <v>12.5</v>
      </c>
      <c r="E102" s="4">
        <v>10000</v>
      </c>
      <c r="F102" s="4">
        <f>1734.5-1711.4</f>
        <v>23.099999999999909</v>
      </c>
      <c r="G102" s="10">
        <f t="shared" ref="G102:G104" si="29">LOG10(D102*100*E102/F102*1000)</f>
        <v>8.7332980331159131</v>
      </c>
      <c r="H102" s="10"/>
    </row>
    <row r="103" spans="1:8" x14ac:dyDescent="0.2">
      <c r="A103" s="4" t="s">
        <v>14</v>
      </c>
      <c r="B103">
        <v>17</v>
      </c>
      <c r="C103">
        <v>14</v>
      </c>
      <c r="D103">
        <f t="shared" si="28"/>
        <v>15.5</v>
      </c>
      <c r="E103" s="4">
        <v>1000</v>
      </c>
      <c r="F103" s="4">
        <f>1839-1782.4</f>
        <v>56.599999999999909</v>
      </c>
      <c r="G103" s="10">
        <f t="shared" si="29"/>
        <v>7.4375152669820208</v>
      </c>
      <c r="H103" s="10"/>
    </row>
    <row r="104" spans="1:8" ht="17" x14ac:dyDescent="0.2">
      <c r="A104" s="6" t="s">
        <v>13</v>
      </c>
      <c r="B104" s="8">
        <v>41</v>
      </c>
      <c r="C104" s="8">
        <v>41</v>
      </c>
      <c r="D104">
        <f t="shared" si="28"/>
        <v>41</v>
      </c>
      <c r="E104" s="6">
        <v>10</v>
      </c>
      <c r="F104" s="6">
        <f>1736.7-1715.5</f>
        <v>21.200000000000045</v>
      </c>
      <c r="G104" s="10">
        <f t="shared" si="29"/>
        <v>6.2864479957909829</v>
      </c>
      <c r="H104" s="10"/>
    </row>
    <row r="105" spans="1:8" s="34" customFormat="1" x14ac:dyDescent="0.2">
      <c r="A105" s="36"/>
      <c r="B105" s="50"/>
      <c r="C105" s="50"/>
      <c r="D105" s="37"/>
      <c r="E105" s="37"/>
      <c r="F105" s="37"/>
      <c r="G105" s="38"/>
      <c r="H105" s="35"/>
    </row>
    <row r="106" spans="1:8" ht="51" x14ac:dyDescent="0.2">
      <c r="A106" s="2" t="s">
        <v>35</v>
      </c>
      <c r="B106" s="49" t="s">
        <v>0</v>
      </c>
      <c r="C106" s="49"/>
      <c r="D106" s="6" t="s">
        <v>1</v>
      </c>
      <c r="E106" s="6" t="s">
        <v>4</v>
      </c>
      <c r="F106" s="6" t="s">
        <v>2</v>
      </c>
      <c r="G106" s="9" t="s">
        <v>3</v>
      </c>
      <c r="H106" s="10"/>
    </row>
    <row r="107" spans="1:8" x14ac:dyDescent="0.2">
      <c r="A107" s="4" t="s">
        <v>11</v>
      </c>
      <c r="B107">
        <v>90</v>
      </c>
      <c r="C107">
        <v>74</v>
      </c>
      <c r="D107">
        <f>AVERAGE(B107:C107)</f>
        <v>82</v>
      </c>
      <c r="E107" s="4">
        <v>1000</v>
      </c>
      <c r="F107" s="4">
        <f>1718.1-1692.8</f>
        <v>25.299999999999955</v>
      </c>
      <c r="G107" s="10">
        <f>LOG10(D107*100*E107/F107*1000)</f>
        <v>8.5106933312079001</v>
      </c>
      <c r="H107" s="10"/>
    </row>
    <row r="108" spans="1:8" x14ac:dyDescent="0.2">
      <c r="A108" s="4" t="s">
        <v>12</v>
      </c>
      <c r="B108">
        <v>23</v>
      </c>
      <c r="D108">
        <f t="shared" ref="D108:D111" si="30">AVERAGE(B108:C108)</f>
        <v>23</v>
      </c>
      <c r="E108" s="4">
        <v>10000</v>
      </c>
      <c r="F108" s="4">
        <f>1735.8-1719.5</f>
        <v>16.299999999999955</v>
      </c>
      <c r="G108" s="10">
        <f>LOG10(D108*100*E108/F108*1000)</f>
        <v>9.1495402316136367</v>
      </c>
      <c r="H108" s="10"/>
    </row>
    <row r="109" spans="1:8" x14ac:dyDescent="0.2">
      <c r="A109" s="4" t="s">
        <v>9</v>
      </c>
      <c r="B109">
        <v>18</v>
      </c>
      <c r="C109">
        <v>11</v>
      </c>
      <c r="D109">
        <f t="shared" si="30"/>
        <v>14.5</v>
      </c>
      <c r="E109" s="4">
        <v>100000</v>
      </c>
      <c r="F109" s="4">
        <f>1760.2-1725</f>
        <v>35.200000000000045</v>
      </c>
      <c r="G109" s="10">
        <f t="shared" ref="G109:G111" si="31">LOG10(D109*100*E109/F109*1000)</f>
        <v>9.6148253387568428</v>
      </c>
      <c r="H109" s="10"/>
    </row>
    <row r="110" spans="1:8" x14ac:dyDescent="0.2">
      <c r="A110" s="4" t="s">
        <v>14</v>
      </c>
      <c r="B110">
        <v>9</v>
      </c>
      <c r="C110">
        <v>8</v>
      </c>
      <c r="D110">
        <f t="shared" si="30"/>
        <v>8.5</v>
      </c>
      <c r="E110" s="4">
        <v>10000</v>
      </c>
      <c r="F110" s="4">
        <f>1746.2-1709</f>
        <v>37.200000000000045</v>
      </c>
      <c r="G110" s="10">
        <f t="shared" si="31"/>
        <v>8.3588759858323947</v>
      </c>
      <c r="H110" s="10"/>
    </row>
    <row r="111" spans="1:8" ht="17" x14ac:dyDescent="0.2">
      <c r="A111" s="6" t="s">
        <v>13</v>
      </c>
      <c r="B111" s="8">
        <v>28</v>
      </c>
      <c r="C111" s="8">
        <v>18</v>
      </c>
      <c r="D111">
        <f t="shared" si="30"/>
        <v>23</v>
      </c>
      <c r="E111" s="6">
        <v>100</v>
      </c>
      <c r="F111" s="6">
        <f>1751.8-1727</f>
        <v>24.799999999999955</v>
      </c>
      <c r="G111" s="10">
        <f t="shared" si="31"/>
        <v>6.9672761551913771</v>
      </c>
      <c r="H111" s="10"/>
    </row>
    <row r="112" spans="1:8" x14ac:dyDescent="0.2">
      <c r="A112" s="12"/>
      <c r="B112" s="49"/>
      <c r="C112" s="49"/>
      <c r="D112" s="6"/>
      <c r="E112" s="6"/>
      <c r="F112" s="6"/>
      <c r="G112" s="9"/>
      <c r="H112" s="10"/>
    </row>
    <row r="113" spans="1:8" ht="51" x14ac:dyDescent="0.2">
      <c r="A113" s="2" t="s">
        <v>36</v>
      </c>
      <c r="B113" s="49" t="s">
        <v>0</v>
      </c>
      <c r="C113" s="49"/>
      <c r="D113" s="6" t="s">
        <v>1</v>
      </c>
      <c r="E113" s="6" t="s">
        <v>4</v>
      </c>
      <c r="F113" s="6" t="s">
        <v>2</v>
      </c>
      <c r="G113" s="9" t="s">
        <v>3</v>
      </c>
      <c r="H113" s="10"/>
    </row>
    <row r="114" spans="1:8" x14ac:dyDescent="0.2">
      <c r="A114" s="4" t="s">
        <v>11</v>
      </c>
      <c r="B114">
        <v>17</v>
      </c>
      <c r="C114">
        <v>25</v>
      </c>
      <c r="D114">
        <f>AVERAGE(B114:C114)</f>
        <v>21</v>
      </c>
      <c r="E114" s="4">
        <v>1000</v>
      </c>
      <c r="F114" s="4">
        <f>1751.9-1740</f>
        <v>11.900000000000091</v>
      </c>
      <c r="G114" s="10">
        <f>LOG10(D114*100*E114/F114*1000)</f>
        <v>8.2466723333413849</v>
      </c>
      <c r="H114" s="10"/>
    </row>
    <row r="115" spans="1:8" x14ac:dyDescent="0.2">
      <c r="A115" s="4" t="s">
        <v>12</v>
      </c>
      <c r="C115">
        <v>53</v>
      </c>
      <c r="D115">
        <f t="shared" ref="D115:D118" si="32">AVERAGE(B115:C115)</f>
        <v>53</v>
      </c>
      <c r="E115" s="4">
        <v>1000</v>
      </c>
      <c r="F115" s="4">
        <f>1831.3-1806.4</f>
        <v>24.899999999999864</v>
      </c>
      <c r="G115" s="10">
        <f>LOG10(D115*100*E115/F115*1000)</f>
        <v>8.3280765225050555</v>
      </c>
      <c r="H115" s="10"/>
    </row>
    <row r="116" spans="1:8" x14ac:dyDescent="0.2">
      <c r="A116" s="4" t="s">
        <v>9</v>
      </c>
      <c r="B116">
        <v>12</v>
      </c>
      <c r="C116">
        <v>16</v>
      </c>
      <c r="D116">
        <f t="shared" si="32"/>
        <v>14</v>
      </c>
      <c r="E116" s="4">
        <v>10000</v>
      </c>
      <c r="F116" s="4">
        <f>1767-1709.2</f>
        <v>57.799999999999955</v>
      </c>
      <c r="G116" s="10">
        <f t="shared" ref="G116:G118" si="33">LOG10(D116*100*E116/F116*1000)</f>
        <v>8.3842001972577087</v>
      </c>
      <c r="H116" s="10"/>
    </row>
    <row r="117" spans="1:8" x14ac:dyDescent="0.2">
      <c r="A117" s="4" t="s">
        <v>14</v>
      </c>
      <c r="B117">
        <v>11</v>
      </c>
      <c r="C117">
        <v>12</v>
      </c>
      <c r="D117">
        <f t="shared" si="32"/>
        <v>11.5</v>
      </c>
      <c r="E117" s="4">
        <v>10000</v>
      </c>
      <c r="F117" s="4">
        <f>1802.4-1702.1</f>
        <v>100.30000000000018</v>
      </c>
      <c r="G117" s="10">
        <f t="shared" si="33"/>
        <v>8.059396907333193</v>
      </c>
      <c r="H117" s="10"/>
    </row>
    <row r="118" spans="1:8" ht="17" x14ac:dyDescent="0.2">
      <c r="A118" s="6" t="s">
        <v>13</v>
      </c>
      <c r="B118" s="8">
        <v>9</v>
      </c>
      <c r="C118" s="8">
        <v>15</v>
      </c>
      <c r="D118">
        <f t="shared" si="32"/>
        <v>12</v>
      </c>
      <c r="E118" s="6">
        <v>1</v>
      </c>
      <c r="F118" s="6">
        <f>1777.5-1718.1</f>
        <v>59.400000000000091</v>
      </c>
      <c r="G118" s="10">
        <f t="shared" si="33"/>
        <v>4.3053948010664307</v>
      </c>
      <c r="H118" s="10"/>
    </row>
    <row r="119" spans="1:8" x14ac:dyDescent="0.2">
      <c r="A119" s="4"/>
      <c r="E119" s="4"/>
      <c r="F119" s="4"/>
      <c r="G119" s="10"/>
      <c r="H119" s="10"/>
    </row>
    <row r="120" spans="1:8" ht="51" x14ac:dyDescent="0.2">
      <c r="A120" s="2" t="s">
        <v>37</v>
      </c>
      <c r="B120" s="49" t="s">
        <v>0</v>
      </c>
      <c r="C120" s="49"/>
      <c r="D120" s="6" t="s">
        <v>1</v>
      </c>
      <c r="E120" s="6" t="s">
        <v>4</v>
      </c>
      <c r="F120" s="6" t="s">
        <v>2</v>
      </c>
      <c r="G120" s="9" t="s">
        <v>3</v>
      </c>
      <c r="H120" s="10"/>
    </row>
    <row r="121" spans="1:8" x14ac:dyDescent="0.2">
      <c r="A121" s="4" t="s">
        <v>11</v>
      </c>
      <c r="B121">
        <v>93</v>
      </c>
      <c r="C121">
        <v>77</v>
      </c>
      <c r="D121">
        <f>AVERAGE(B121:C121)</f>
        <v>85</v>
      </c>
      <c r="E121" s="4">
        <v>1000</v>
      </c>
      <c r="F121" s="4">
        <f>1701.7-1665.4</f>
        <v>36.299999999999955</v>
      </c>
      <c r="G121" s="10">
        <f>LOG10(D121*100*E121/F121*1000)</f>
        <v>8.3695123006781813</v>
      </c>
      <c r="H121" s="10"/>
    </row>
    <row r="122" spans="1:8" x14ac:dyDescent="0.2">
      <c r="A122" s="4" t="s">
        <v>12</v>
      </c>
      <c r="B122">
        <v>30</v>
      </c>
      <c r="C122">
        <v>27</v>
      </c>
      <c r="D122">
        <f t="shared" ref="D122:D125" si="34">AVERAGE(B122:C122)</f>
        <v>28.5</v>
      </c>
      <c r="E122" s="4">
        <v>10000</v>
      </c>
      <c r="F122" s="4">
        <f>1740.7-1720.1</f>
        <v>20.600000000000136</v>
      </c>
      <c r="G122" s="10">
        <f>LOG10(D122*100*E122/F122*1000)</f>
        <v>9.1409776396393543</v>
      </c>
      <c r="H122" s="10"/>
    </row>
    <row r="123" spans="1:8" x14ac:dyDescent="0.2">
      <c r="A123" s="4" t="s">
        <v>9</v>
      </c>
      <c r="B123">
        <v>69</v>
      </c>
      <c r="C123">
        <v>57</v>
      </c>
      <c r="D123">
        <f t="shared" si="34"/>
        <v>63</v>
      </c>
      <c r="E123" s="4">
        <v>1000</v>
      </c>
      <c r="F123" s="4">
        <f>1805.4-1789.8</f>
        <v>15.600000000000136</v>
      </c>
      <c r="G123" s="10">
        <f t="shared" ref="G123:G125" si="35">LOG10(D123*100*E123/F123*1000)</f>
        <v>8.6062159510991165</v>
      </c>
      <c r="H123" s="10"/>
    </row>
    <row r="124" spans="1:8" x14ac:dyDescent="0.2">
      <c r="A124" s="4" t="s">
        <v>14</v>
      </c>
      <c r="B124">
        <v>42</v>
      </c>
      <c r="C124">
        <v>41</v>
      </c>
      <c r="D124">
        <f t="shared" si="34"/>
        <v>41.5</v>
      </c>
      <c r="E124" s="4">
        <v>1000</v>
      </c>
      <c r="F124" s="4">
        <f>1741.5-1709</f>
        <v>32.5</v>
      </c>
      <c r="G124" s="10">
        <f t="shared" si="35"/>
        <v>8.1061647357332181</v>
      </c>
      <c r="H124" s="10"/>
    </row>
    <row r="125" spans="1:8" ht="17" x14ac:dyDescent="0.2">
      <c r="A125" s="6" t="s">
        <v>13</v>
      </c>
      <c r="B125" s="8">
        <v>11</v>
      </c>
      <c r="C125" s="8">
        <v>8</v>
      </c>
      <c r="D125">
        <f t="shared" si="34"/>
        <v>9.5</v>
      </c>
      <c r="E125" s="6">
        <v>10</v>
      </c>
      <c r="F125" s="6">
        <f>1820.7-1719.2</f>
        <v>101.5</v>
      </c>
      <c r="G125" s="10">
        <f t="shared" si="35"/>
        <v>4.9712575630396163</v>
      </c>
      <c r="H125" s="10"/>
    </row>
    <row r="126" spans="1:8" x14ac:dyDescent="0.2">
      <c r="A126" s="4"/>
      <c r="E126" s="4"/>
      <c r="F126" s="4"/>
      <c r="G126" s="10"/>
      <c r="H126" s="10"/>
    </row>
    <row r="127" spans="1:8" ht="51" x14ac:dyDescent="0.2">
      <c r="A127" s="2" t="s">
        <v>38</v>
      </c>
      <c r="B127" s="49" t="s">
        <v>0</v>
      </c>
      <c r="C127" s="49"/>
      <c r="D127" s="6" t="s">
        <v>1</v>
      </c>
      <c r="E127" s="6" t="s">
        <v>4</v>
      </c>
      <c r="F127" s="6" t="s">
        <v>2</v>
      </c>
      <c r="G127" s="9" t="s">
        <v>3</v>
      </c>
      <c r="H127" s="10"/>
    </row>
    <row r="128" spans="1:8" x14ac:dyDescent="0.2">
      <c r="A128" s="4" t="s">
        <v>11</v>
      </c>
      <c r="B128">
        <v>43</v>
      </c>
      <c r="C128">
        <v>54</v>
      </c>
      <c r="D128">
        <f>AVERAGE(B128:C128)</f>
        <v>48.5</v>
      </c>
      <c r="E128" s="4">
        <v>1000</v>
      </c>
      <c r="F128" s="4">
        <f>1710.5-1700</f>
        <v>10.5</v>
      </c>
      <c r="G128" s="10">
        <f>LOG10(D128*100*E128/F128*1000)</f>
        <v>8.6645524395323257</v>
      </c>
      <c r="H128" s="10"/>
    </row>
    <row r="129" spans="1:10" x14ac:dyDescent="0.2">
      <c r="A129" s="4" t="s">
        <v>12</v>
      </c>
      <c r="B129">
        <v>23</v>
      </c>
      <c r="C129">
        <v>30</v>
      </c>
      <c r="D129">
        <f t="shared" ref="D129:D132" si="36">AVERAGE(B129:C129)</f>
        <v>26.5</v>
      </c>
      <c r="E129" s="4">
        <v>10000</v>
      </c>
      <c r="F129" s="4">
        <f>1741.8-1709.2</f>
        <v>32.599999999999909</v>
      </c>
      <c r="G129" s="10">
        <f>LOG10(D129*100*E129/F129*1000)</f>
        <v>8.9100282738688694</v>
      </c>
      <c r="H129" s="10"/>
    </row>
    <row r="130" spans="1:10" ht="20" customHeight="1" x14ac:dyDescent="0.2">
      <c r="A130" s="4" t="s">
        <v>9</v>
      </c>
      <c r="B130">
        <v>14</v>
      </c>
      <c r="C130">
        <v>7</v>
      </c>
      <c r="D130">
        <f t="shared" si="36"/>
        <v>10.5</v>
      </c>
      <c r="E130" s="4">
        <v>10000</v>
      </c>
      <c r="F130" s="4">
        <f>1725.6-1707.6</f>
        <v>18</v>
      </c>
      <c r="G130" s="10">
        <f t="shared" ref="G130:G132" si="37">LOG10(D130*100*E130/F130*1000)</f>
        <v>8.7659167939666318</v>
      </c>
      <c r="H130" s="9"/>
    </row>
    <row r="131" spans="1:10" x14ac:dyDescent="0.2">
      <c r="A131" s="4" t="s">
        <v>14</v>
      </c>
      <c r="B131">
        <v>43</v>
      </c>
      <c r="C131">
        <v>37</v>
      </c>
      <c r="D131">
        <f t="shared" si="36"/>
        <v>40</v>
      </c>
      <c r="E131" s="4">
        <v>1000</v>
      </c>
      <c r="F131" s="4">
        <f>1803-1725.1</f>
        <v>77.900000000000091</v>
      </c>
      <c r="G131" s="10">
        <f t="shared" si="37"/>
        <v>7.7105225336553973</v>
      </c>
      <c r="H131" s="10"/>
    </row>
    <row r="132" spans="1:10" ht="17" x14ac:dyDescent="0.2">
      <c r="A132" s="6" t="s">
        <v>13</v>
      </c>
      <c r="B132" s="8">
        <v>6</v>
      </c>
      <c r="C132" s="8">
        <v>3</v>
      </c>
      <c r="D132">
        <f t="shared" si="36"/>
        <v>4.5</v>
      </c>
      <c r="E132" s="6">
        <v>1</v>
      </c>
      <c r="F132" s="6">
        <f>1737.8-1714.6</f>
        <v>23.200000000000045</v>
      </c>
      <c r="G132" s="10">
        <f t="shared" si="37"/>
        <v>4.2877245288844428</v>
      </c>
      <c r="H132" s="10"/>
      <c r="J132" t="s">
        <v>41</v>
      </c>
    </row>
    <row r="133" spans="1:10" x14ac:dyDescent="0.2">
      <c r="A133" s="4"/>
      <c r="E133" s="4"/>
      <c r="F133" s="4"/>
      <c r="G133" s="10"/>
      <c r="H133" s="10"/>
    </row>
    <row r="134" spans="1:10" ht="51" x14ac:dyDescent="0.2">
      <c r="A134" s="2" t="s">
        <v>39</v>
      </c>
      <c r="B134" s="49" t="s">
        <v>0</v>
      </c>
      <c r="C134" s="49"/>
      <c r="D134" s="6" t="s">
        <v>1</v>
      </c>
      <c r="E134" s="6" t="s">
        <v>4</v>
      </c>
      <c r="F134" s="6" t="s">
        <v>2</v>
      </c>
      <c r="G134" s="9" t="s">
        <v>3</v>
      </c>
      <c r="H134" s="10"/>
    </row>
    <row r="135" spans="1:10" x14ac:dyDescent="0.2">
      <c r="A135" s="4" t="s">
        <v>11</v>
      </c>
      <c r="B135">
        <v>41</v>
      </c>
      <c r="C135">
        <v>45</v>
      </c>
      <c r="D135">
        <f>AVERAGE(B135:C135)</f>
        <v>43</v>
      </c>
      <c r="E135" s="4">
        <v>1000</v>
      </c>
      <c r="F135" s="4">
        <f>1914.8-1889.1</f>
        <v>25.700000000000045</v>
      </c>
      <c r="G135" s="10">
        <f>LOG10(D135*100*E135/F135*1000)</f>
        <v>8.2235353322482911</v>
      </c>
      <c r="H135" s="10"/>
    </row>
    <row r="136" spans="1:10" x14ac:dyDescent="0.2">
      <c r="A136" s="4" t="s">
        <v>12</v>
      </c>
      <c r="B136">
        <v>26</v>
      </c>
      <c r="C136">
        <v>24</v>
      </c>
      <c r="D136">
        <f t="shared" ref="D136:D139" si="38">AVERAGE(B136:C136)</f>
        <v>25</v>
      </c>
      <c r="E136" s="4">
        <v>10000</v>
      </c>
      <c r="F136" s="4">
        <f>17556.3-1720.9</f>
        <v>15835.4</v>
      </c>
      <c r="G136" s="10">
        <f>LOG10(D136*100*E136/F136*1000)</f>
        <v>6.1983109706073849</v>
      </c>
      <c r="H136" s="10"/>
    </row>
    <row r="137" spans="1:10" x14ac:dyDescent="0.2">
      <c r="A137" s="4" t="s">
        <v>9</v>
      </c>
      <c r="B137">
        <v>26</v>
      </c>
      <c r="C137">
        <v>27</v>
      </c>
      <c r="D137">
        <f t="shared" si="38"/>
        <v>26.5</v>
      </c>
      <c r="E137" s="4">
        <v>1000</v>
      </c>
      <c r="F137" s="4">
        <f>1660.2-1645.5</f>
        <v>14.700000000000045</v>
      </c>
      <c r="G137" s="10">
        <f t="shared" ref="G137:G139" si="39">LOG10(D137*100*E137/F137*1000)</f>
        <v>8.2559285391886306</v>
      </c>
      <c r="H137" s="10"/>
    </row>
    <row r="138" spans="1:10" x14ac:dyDescent="0.2">
      <c r="A138" s="4" t="s">
        <v>14</v>
      </c>
      <c r="B138">
        <v>61</v>
      </c>
      <c r="C138">
        <v>64</v>
      </c>
      <c r="D138">
        <f t="shared" si="38"/>
        <v>62.5</v>
      </c>
      <c r="E138" s="4">
        <v>100</v>
      </c>
      <c r="F138" s="4">
        <f>1793-1718.4</f>
        <v>74.599999999999909</v>
      </c>
      <c r="G138" s="10">
        <f t="shared" si="39"/>
        <v>6.9231411898714068</v>
      </c>
      <c r="H138" s="10"/>
    </row>
    <row r="139" spans="1:10" ht="17" x14ac:dyDescent="0.2">
      <c r="A139" s="6" t="s">
        <v>13</v>
      </c>
      <c r="B139" s="8">
        <v>26</v>
      </c>
      <c r="C139" s="8">
        <v>28</v>
      </c>
      <c r="D139">
        <f t="shared" si="38"/>
        <v>27</v>
      </c>
      <c r="E139" s="6">
        <v>1</v>
      </c>
      <c r="F139" s="6">
        <f>1824.1-1787.5</f>
        <v>36.599999999999909</v>
      </c>
      <c r="G139" s="10">
        <f t="shared" si="39"/>
        <v>4.8678826787645777</v>
      </c>
      <c r="H139" s="10"/>
    </row>
    <row r="140" spans="1:10" s="34" customFormat="1" x14ac:dyDescent="0.2">
      <c r="A140" s="39"/>
      <c r="B140" s="40"/>
      <c r="C140" s="40"/>
      <c r="E140" s="39"/>
      <c r="F140" s="39"/>
      <c r="G140" s="35"/>
      <c r="H140" s="35"/>
    </row>
    <row r="141" spans="1:10" x14ac:dyDescent="0.2">
      <c r="A141" s="2"/>
      <c r="B141" s="49"/>
      <c r="C141" s="49"/>
      <c r="D141" s="6"/>
      <c r="E141" s="6"/>
      <c r="F141" s="6"/>
      <c r="G141" s="9"/>
      <c r="H141" s="10"/>
    </row>
    <row r="142" spans="1:10" x14ac:dyDescent="0.2">
      <c r="A142" s="4"/>
      <c r="E142" s="4"/>
      <c r="F142" s="4"/>
      <c r="G142" s="10"/>
      <c r="H142" s="10"/>
    </row>
    <row r="143" spans="1:10" x14ac:dyDescent="0.2">
      <c r="A143" s="4"/>
      <c r="E143" s="4"/>
      <c r="F143" s="4"/>
      <c r="G143" s="10"/>
      <c r="H143" s="10"/>
    </row>
    <row r="144" spans="1:10" x14ac:dyDescent="0.2">
      <c r="A144" s="4"/>
      <c r="E144" s="4"/>
      <c r="F144" s="4"/>
      <c r="G144" s="10"/>
      <c r="H144" s="10"/>
    </row>
    <row r="145" spans="1:8" x14ac:dyDescent="0.2">
      <c r="A145" s="4"/>
      <c r="E145" s="4"/>
      <c r="F145" s="4"/>
      <c r="G145" s="10"/>
      <c r="H145" s="10"/>
    </row>
    <row r="146" spans="1:8" x14ac:dyDescent="0.2">
      <c r="A146" s="6"/>
      <c r="B146" s="8"/>
      <c r="C146" s="8"/>
      <c r="E146" s="6"/>
      <c r="F146" s="6"/>
      <c r="G146" s="10"/>
      <c r="H146" s="10"/>
    </row>
    <row r="147" spans="1:8" x14ac:dyDescent="0.2">
      <c r="A147" s="4"/>
      <c r="E147" s="4"/>
      <c r="F147" s="4"/>
      <c r="G147" s="10"/>
      <c r="H147" s="10"/>
    </row>
    <row r="148" spans="1:8" x14ac:dyDescent="0.2">
      <c r="A148" s="2"/>
      <c r="B148" s="49"/>
      <c r="C148" s="49"/>
      <c r="D148" s="6"/>
      <c r="E148" s="6"/>
      <c r="F148" s="6"/>
      <c r="G148" s="9"/>
      <c r="H148" s="10"/>
    </row>
    <row r="149" spans="1:8" x14ac:dyDescent="0.2">
      <c r="A149" s="4"/>
      <c r="E149" s="4"/>
      <c r="F149" s="4"/>
      <c r="G149" s="10"/>
      <c r="H149" s="10"/>
    </row>
    <row r="150" spans="1:8" x14ac:dyDescent="0.2">
      <c r="A150" s="4"/>
      <c r="E150" s="4"/>
      <c r="F150" s="4"/>
      <c r="G150" s="10"/>
      <c r="H150" s="10"/>
    </row>
    <row r="151" spans="1:8" x14ac:dyDescent="0.2">
      <c r="A151" s="4"/>
      <c r="E151" s="4"/>
      <c r="F151" s="4"/>
      <c r="G151" s="10"/>
      <c r="H151" s="10"/>
    </row>
    <row r="152" spans="1:8" x14ac:dyDescent="0.2">
      <c r="A152" s="4"/>
      <c r="E152" s="4"/>
      <c r="F152" s="4"/>
      <c r="G152" s="10"/>
      <c r="H152" s="10"/>
    </row>
    <row r="153" spans="1:8" x14ac:dyDescent="0.2">
      <c r="A153" s="6"/>
      <c r="B153" s="8"/>
      <c r="C153" s="8"/>
      <c r="E153" s="6"/>
      <c r="F153" s="6"/>
      <c r="G153" s="10"/>
      <c r="H153" s="10"/>
    </row>
    <row r="154" spans="1:8" x14ac:dyDescent="0.2">
      <c r="A154" s="4"/>
      <c r="E154" s="4"/>
      <c r="F154" s="4"/>
      <c r="G154" s="10"/>
      <c r="H154" s="10"/>
    </row>
    <row r="155" spans="1:8" x14ac:dyDescent="0.2">
      <c r="A155" s="2"/>
      <c r="B155" s="49"/>
      <c r="C155" s="49"/>
      <c r="D155" s="6"/>
      <c r="E155" s="6"/>
      <c r="F155" s="6"/>
      <c r="G155" s="9"/>
      <c r="H155" s="10"/>
    </row>
    <row r="156" spans="1:8" x14ac:dyDescent="0.2">
      <c r="A156" s="4"/>
      <c r="E156" s="4"/>
      <c r="F156" s="4"/>
      <c r="G156" s="10"/>
      <c r="H156" s="10"/>
    </row>
    <row r="157" spans="1:8" x14ac:dyDescent="0.2">
      <c r="A157" s="4"/>
      <c r="E157" s="4"/>
      <c r="F157" s="4"/>
      <c r="G157" s="10"/>
      <c r="H157" s="10"/>
    </row>
    <row r="158" spans="1:8" x14ac:dyDescent="0.2">
      <c r="A158" s="4"/>
      <c r="E158" s="4"/>
      <c r="F158" s="4"/>
      <c r="G158" s="10"/>
      <c r="H158" s="10"/>
    </row>
    <row r="159" spans="1:8" x14ac:dyDescent="0.2">
      <c r="A159" s="4"/>
      <c r="E159" s="4"/>
      <c r="F159" s="4"/>
      <c r="G159" s="10"/>
      <c r="H159" s="10"/>
    </row>
    <row r="160" spans="1:8" x14ac:dyDescent="0.2">
      <c r="A160" s="6"/>
      <c r="B160" s="8"/>
      <c r="C160" s="8"/>
      <c r="E160" s="6"/>
      <c r="F160" s="6"/>
      <c r="G160" s="10"/>
      <c r="H160" s="10"/>
    </row>
    <row r="161" spans="1:8" x14ac:dyDescent="0.2">
      <c r="A161" s="4"/>
      <c r="E161" s="4"/>
      <c r="F161" s="4"/>
      <c r="G161" s="10"/>
      <c r="H161" s="10"/>
    </row>
    <row r="162" spans="1:8" x14ac:dyDescent="0.2">
      <c r="A162" s="2"/>
      <c r="B162" s="49"/>
      <c r="C162" s="49"/>
      <c r="D162" s="6"/>
      <c r="E162" s="6"/>
      <c r="F162" s="6"/>
      <c r="G162" s="9"/>
      <c r="H162" s="10"/>
    </row>
    <row r="163" spans="1:8" x14ac:dyDescent="0.2">
      <c r="A163" s="4"/>
      <c r="E163" s="4"/>
      <c r="F163" s="4"/>
      <c r="G163" s="10"/>
      <c r="H163" s="9"/>
    </row>
    <row r="164" spans="1:8" x14ac:dyDescent="0.2">
      <c r="A164" s="4"/>
      <c r="E164" s="4"/>
      <c r="F164" s="4"/>
      <c r="G164" s="10"/>
      <c r="H164" s="10"/>
    </row>
    <row r="165" spans="1:8" x14ac:dyDescent="0.2">
      <c r="A165" s="4"/>
      <c r="E165" s="4"/>
      <c r="F165" s="4"/>
      <c r="G165" s="10"/>
      <c r="H165" s="10"/>
    </row>
    <row r="166" spans="1:8" x14ac:dyDescent="0.2">
      <c r="A166" s="4"/>
      <c r="E166" s="4"/>
      <c r="F166" s="4"/>
      <c r="G166" s="10"/>
      <c r="H166" s="10"/>
    </row>
    <row r="167" spans="1:8" x14ac:dyDescent="0.2">
      <c r="A167" s="6"/>
      <c r="B167" s="8"/>
      <c r="C167" s="8"/>
      <c r="E167" s="6"/>
      <c r="F167" s="6"/>
      <c r="G167" s="10"/>
      <c r="H167" s="10"/>
    </row>
    <row r="168" spans="1:8" x14ac:dyDescent="0.2">
      <c r="A168" s="4"/>
      <c r="E168" s="4"/>
      <c r="F168" s="4"/>
      <c r="G168" s="10"/>
      <c r="H168" s="10"/>
    </row>
    <row r="169" spans="1:8" x14ac:dyDescent="0.2">
      <c r="A169" s="2"/>
      <c r="B169" s="49"/>
      <c r="C169" s="49"/>
      <c r="D169" s="6"/>
      <c r="E169" s="6"/>
      <c r="F169" s="6"/>
      <c r="G169" s="9"/>
      <c r="H169" s="10"/>
    </row>
    <row r="170" spans="1:8" x14ac:dyDescent="0.2">
      <c r="A170" s="4"/>
      <c r="E170" s="4"/>
      <c r="F170" s="4"/>
      <c r="G170" s="10"/>
      <c r="H170" s="10"/>
    </row>
    <row r="171" spans="1:8" x14ac:dyDescent="0.2">
      <c r="A171" s="4"/>
      <c r="E171" s="4"/>
      <c r="F171" s="4"/>
      <c r="G171" s="10"/>
      <c r="H171" s="10"/>
    </row>
    <row r="172" spans="1:8" x14ac:dyDescent="0.2">
      <c r="A172" s="4"/>
      <c r="E172" s="4"/>
      <c r="F172" s="4"/>
      <c r="G172" s="10"/>
      <c r="H172" s="10"/>
    </row>
    <row r="173" spans="1:8" x14ac:dyDescent="0.2">
      <c r="A173" s="4"/>
      <c r="E173" s="4"/>
      <c r="F173" s="4"/>
      <c r="G173" s="10"/>
      <c r="H173" s="10"/>
    </row>
    <row r="174" spans="1:8" x14ac:dyDescent="0.2">
      <c r="A174" s="6"/>
      <c r="B174" s="8"/>
      <c r="C174" s="8"/>
      <c r="E174" s="6"/>
      <c r="F174" s="6"/>
      <c r="G174" s="10"/>
      <c r="H174" s="10"/>
    </row>
    <row r="175" spans="1:8" x14ac:dyDescent="0.2">
      <c r="A175" s="4"/>
      <c r="B175" s="14"/>
      <c r="E175" s="4"/>
      <c r="F175" s="4"/>
      <c r="G175" s="10"/>
      <c r="H175" s="10"/>
    </row>
    <row r="176" spans="1:8" x14ac:dyDescent="0.2">
      <c r="A176" s="6"/>
      <c r="B176" s="8"/>
      <c r="C176" s="8"/>
      <c r="D176" s="6"/>
      <c r="E176" s="6"/>
      <c r="F176" s="6"/>
      <c r="G176" s="10"/>
      <c r="H176" s="10"/>
    </row>
    <row r="177" spans="1:8" x14ac:dyDescent="0.2">
      <c r="A177" s="2"/>
      <c r="B177" s="49"/>
      <c r="C177" s="49"/>
      <c r="D177" s="6"/>
      <c r="E177" s="6"/>
      <c r="F177" s="6"/>
      <c r="G177" s="9"/>
      <c r="H177" s="10"/>
    </row>
    <row r="178" spans="1:8" x14ac:dyDescent="0.2">
      <c r="A178" s="4"/>
      <c r="E178" s="4"/>
      <c r="F178" s="4"/>
      <c r="G178" s="10"/>
      <c r="H178" s="10"/>
    </row>
    <row r="179" spans="1:8" x14ac:dyDescent="0.2">
      <c r="A179" s="4"/>
      <c r="E179" s="4"/>
      <c r="F179" s="4"/>
      <c r="G179" s="10"/>
      <c r="H179" s="10"/>
    </row>
    <row r="180" spans="1:8" x14ac:dyDescent="0.2">
      <c r="A180" s="4"/>
      <c r="E180" s="4"/>
      <c r="F180" s="4"/>
      <c r="G180" s="10"/>
      <c r="H180" s="10"/>
    </row>
    <row r="181" spans="1:8" x14ac:dyDescent="0.2">
      <c r="A181" s="4"/>
      <c r="E181" s="4"/>
      <c r="F181" s="4"/>
      <c r="G181" s="10"/>
      <c r="H181" s="10"/>
    </row>
    <row r="182" spans="1:8" x14ac:dyDescent="0.2">
      <c r="A182" s="6"/>
      <c r="B182" s="8"/>
      <c r="C182" s="8"/>
      <c r="E182" s="6"/>
      <c r="F182" s="6"/>
      <c r="G182" s="10"/>
      <c r="H182" s="10"/>
    </row>
    <row r="183" spans="1:8" x14ac:dyDescent="0.2">
      <c r="A183" s="4"/>
      <c r="E183" s="4"/>
      <c r="F183" s="4"/>
      <c r="G183" s="10"/>
      <c r="H183" s="10"/>
    </row>
    <row r="184" spans="1:8" x14ac:dyDescent="0.2">
      <c r="A184" s="4"/>
      <c r="E184" s="4"/>
      <c r="F184" s="4"/>
      <c r="G184" s="10"/>
      <c r="H184" s="10"/>
    </row>
    <row r="185" spans="1:8" x14ac:dyDescent="0.2">
      <c r="A185" s="4"/>
      <c r="E185" s="4"/>
      <c r="F185" s="4"/>
      <c r="G185" s="10"/>
      <c r="H185" s="10"/>
    </row>
    <row r="186" spans="1:8" x14ac:dyDescent="0.2">
      <c r="A186" s="4"/>
      <c r="E186" s="4"/>
      <c r="F186" s="4"/>
      <c r="G186" s="10"/>
      <c r="H186" s="10"/>
    </row>
    <row r="187" spans="1:8" x14ac:dyDescent="0.2">
      <c r="A187" s="6"/>
      <c r="C187" s="8"/>
      <c r="E187" s="6"/>
      <c r="F187" s="6"/>
      <c r="G187" s="10"/>
      <c r="H187" s="10"/>
    </row>
    <row r="188" spans="1:8" x14ac:dyDescent="0.2">
      <c r="A188" s="13"/>
      <c r="B188" s="14"/>
      <c r="C188" s="14"/>
      <c r="E188" s="13"/>
      <c r="F188" s="13"/>
      <c r="G188" s="10"/>
      <c r="H188" s="10"/>
    </row>
    <row r="189" spans="1:8" x14ac:dyDescent="0.2">
      <c r="A189" s="13"/>
      <c r="B189" s="14"/>
      <c r="C189" s="14"/>
      <c r="E189" s="13"/>
      <c r="F189" s="13"/>
      <c r="G189" s="10"/>
      <c r="H189" s="10"/>
    </row>
    <row r="190" spans="1:8" x14ac:dyDescent="0.2">
      <c r="A190" s="13"/>
      <c r="B190" s="14"/>
      <c r="C190" s="14"/>
      <c r="E190" s="13"/>
      <c r="F190" s="13"/>
      <c r="G190" s="10"/>
      <c r="H190" s="10"/>
    </row>
    <row r="191" spans="1:8" x14ac:dyDescent="0.2">
      <c r="A191" s="4"/>
      <c r="B191" s="14"/>
      <c r="E191" s="4"/>
      <c r="F191" s="4"/>
      <c r="G191" s="10"/>
      <c r="H191" s="10"/>
    </row>
    <row r="192" spans="1:8" x14ac:dyDescent="0.2">
      <c r="A192" s="4"/>
      <c r="B192" s="14"/>
      <c r="E192" s="4"/>
      <c r="F192" s="4"/>
      <c r="G192" s="10"/>
      <c r="H192" s="10"/>
    </row>
    <row r="193" spans="1:8" x14ac:dyDescent="0.2">
      <c r="A193" s="12"/>
      <c r="B193" s="49"/>
      <c r="C193" s="49"/>
      <c r="D193" s="6"/>
      <c r="E193" s="6"/>
      <c r="F193" s="6"/>
      <c r="G193" s="9"/>
      <c r="H193" s="10"/>
    </row>
    <row r="194" spans="1:8" x14ac:dyDescent="0.2">
      <c r="A194" s="4"/>
      <c r="E194" s="4"/>
      <c r="F194" s="4"/>
      <c r="G194" s="10"/>
      <c r="H194" s="9"/>
    </row>
    <row r="195" spans="1:8" x14ac:dyDescent="0.2">
      <c r="A195" s="4"/>
      <c r="E195" s="4"/>
      <c r="F195" s="4"/>
      <c r="G195" s="10"/>
      <c r="H195" s="10"/>
    </row>
    <row r="196" spans="1:8" x14ac:dyDescent="0.2">
      <c r="A196" s="4"/>
      <c r="E196" s="4"/>
      <c r="F196" s="4"/>
      <c r="G196" s="10"/>
      <c r="H196" s="10"/>
    </row>
    <row r="197" spans="1:8" x14ac:dyDescent="0.2">
      <c r="A197" s="4"/>
      <c r="E197" s="4"/>
      <c r="F197" s="4"/>
      <c r="G197" s="10"/>
      <c r="H197" s="10"/>
    </row>
    <row r="198" spans="1:8" x14ac:dyDescent="0.2">
      <c r="A198" s="6"/>
      <c r="B198" s="8"/>
      <c r="C198" s="8"/>
      <c r="E198" s="6"/>
      <c r="F198" s="6"/>
      <c r="G198" s="10"/>
      <c r="H198" s="10"/>
    </row>
    <row r="199" spans="1:8" x14ac:dyDescent="0.2">
      <c r="A199" s="4"/>
      <c r="E199" s="4"/>
      <c r="F199" s="4"/>
      <c r="G199" s="10"/>
      <c r="H199" s="10"/>
    </row>
    <row r="200" spans="1:8" x14ac:dyDescent="0.2">
      <c r="A200" s="4"/>
      <c r="E200" s="4"/>
      <c r="F200" s="4"/>
      <c r="G200" s="10"/>
      <c r="H200" s="10"/>
    </row>
    <row r="201" spans="1:8" x14ac:dyDescent="0.2">
      <c r="A201" s="4"/>
      <c r="E201" s="4"/>
      <c r="F201" s="4"/>
      <c r="G201" s="10"/>
      <c r="H201" s="10"/>
    </row>
    <row r="202" spans="1:8" x14ac:dyDescent="0.2">
      <c r="A202" s="4"/>
      <c r="E202" s="4"/>
      <c r="F202" s="4"/>
      <c r="G202" s="10"/>
      <c r="H202" s="10"/>
    </row>
    <row r="203" spans="1:8" x14ac:dyDescent="0.2">
      <c r="A203" s="4"/>
      <c r="E203" s="4"/>
      <c r="F203" s="4"/>
      <c r="G203" s="10"/>
      <c r="H203" s="10"/>
    </row>
    <row r="204" spans="1:8" x14ac:dyDescent="0.2">
      <c r="A204" s="13"/>
      <c r="B204" s="14"/>
      <c r="C204" s="14"/>
      <c r="E204" s="13"/>
      <c r="F204" s="13"/>
      <c r="G204" s="10"/>
      <c r="H204" s="10"/>
    </row>
    <row r="205" spans="1:8" x14ac:dyDescent="0.2">
      <c r="A205" s="13"/>
      <c r="B205" s="14"/>
      <c r="C205" s="14"/>
      <c r="E205" s="13"/>
      <c r="F205" s="13"/>
      <c r="G205" s="10"/>
      <c r="H205" s="10"/>
    </row>
    <row r="206" spans="1:8" x14ac:dyDescent="0.2">
      <c r="A206" s="13"/>
      <c r="B206" s="14"/>
      <c r="C206" s="14"/>
      <c r="E206" s="13"/>
      <c r="F206" s="13"/>
      <c r="G206" s="10"/>
      <c r="H206" s="10"/>
    </row>
    <row r="207" spans="1:8" x14ac:dyDescent="0.2">
      <c r="A207" s="4"/>
      <c r="B207" s="14"/>
      <c r="C207" s="14"/>
      <c r="E207" s="4"/>
      <c r="F207" s="4"/>
      <c r="G207" s="10"/>
      <c r="H207" s="5"/>
    </row>
    <row r="208" spans="1:8" x14ac:dyDescent="0.2">
      <c r="A208" s="4"/>
      <c r="B208" s="14"/>
      <c r="E208" s="4"/>
      <c r="F208" s="4"/>
      <c r="G208" s="10"/>
      <c r="H208" s="5"/>
    </row>
    <row r="209" spans="1:8" x14ac:dyDescent="0.2">
      <c r="A209" s="12"/>
      <c r="B209" s="49"/>
      <c r="C209" s="49"/>
      <c r="D209" s="6"/>
      <c r="E209" s="6"/>
      <c r="F209" s="6"/>
      <c r="G209" s="9"/>
      <c r="H209" s="5"/>
    </row>
    <row r="210" spans="1:8" x14ac:dyDescent="0.2">
      <c r="A210" s="4"/>
      <c r="E210" s="4"/>
      <c r="F210" s="4"/>
      <c r="G210" s="10"/>
      <c r="H210" s="5"/>
    </row>
    <row r="211" spans="1:8" x14ac:dyDescent="0.2">
      <c r="A211" s="4"/>
      <c r="E211" s="4"/>
      <c r="F211" s="4"/>
      <c r="G211" s="10"/>
      <c r="H211" s="5"/>
    </row>
    <row r="212" spans="1:8" x14ac:dyDescent="0.2">
      <c r="A212" s="4"/>
      <c r="E212" s="4"/>
      <c r="F212" s="4"/>
      <c r="G212" s="10"/>
      <c r="H212" s="5"/>
    </row>
    <row r="213" spans="1:8" x14ac:dyDescent="0.2">
      <c r="A213" s="4"/>
      <c r="E213" s="4"/>
      <c r="F213" s="4"/>
      <c r="G213" s="10"/>
      <c r="H213" s="5"/>
    </row>
    <row r="214" spans="1:8" x14ac:dyDescent="0.2">
      <c r="A214" s="6"/>
      <c r="B214" s="8"/>
      <c r="C214" s="8"/>
      <c r="E214" s="6"/>
      <c r="F214" s="6"/>
      <c r="G214" s="10"/>
      <c r="H214" s="5"/>
    </row>
    <row r="215" spans="1:8" x14ac:dyDescent="0.2">
      <c r="A215" s="4"/>
      <c r="E215" s="4"/>
      <c r="F215" s="4"/>
      <c r="G215" s="10"/>
      <c r="H215" s="5"/>
    </row>
    <row r="216" spans="1:8" x14ac:dyDescent="0.2">
      <c r="A216" s="4"/>
      <c r="E216" s="4"/>
      <c r="F216" s="4"/>
      <c r="G216" s="10"/>
      <c r="H216" s="5"/>
    </row>
    <row r="217" spans="1:8" x14ac:dyDescent="0.2">
      <c r="A217" s="4"/>
      <c r="E217" s="4"/>
      <c r="F217" s="4"/>
      <c r="G217" s="10"/>
      <c r="H217" s="5"/>
    </row>
    <row r="218" spans="1:8" x14ac:dyDescent="0.2">
      <c r="A218" s="4"/>
      <c r="E218" s="4"/>
      <c r="F218" s="4"/>
      <c r="G218" s="10"/>
      <c r="H218" s="5"/>
    </row>
    <row r="219" spans="1:8" x14ac:dyDescent="0.2">
      <c r="A219" s="4"/>
      <c r="E219" s="4"/>
      <c r="F219" s="4"/>
      <c r="G219" s="10"/>
      <c r="H219" s="5"/>
    </row>
    <row r="220" spans="1:8" x14ac:dyDescent="0.2">
      <c r="A220" s="13"/>
      <c r="B220" s="14"/>
      <c r="C220" s="14"/>
      <c r="E220" s="13"/>
      <c r="F220" s="13"/>
      <c r="G220" s="10"/>
      <c r="H220" s="5"/>
    </row>
    <row r="221" spans="1:8" x14ac:dyDescent="0.2">
      <c r="A221" s="13"/>
      <c r="B221" s="14"/>
      <c r="C221" s="14"/>
      <c r="E221" s="13"/>
      <c r="F221" s="13"/>
      <c r="G221" s="10"/>
      <c r="H221" s="5"/>
    </row>
    <row r="222" spans="1:8" x14ac:dyDescent="0.2">
      <c r="A222" s="13"/>
      <c r="B222" s="14"/>
      <c r="C222" s="14"/>
      <c r="E222" s="13"/>
      <c r="F222" s="13"/>
      <c r="G222" s="10"/>
      <c r="H222" s="5"/>
    </row>
    <row r="223" spans="1:8" x14ac:dyDescent="0.2">
      <c r="A223" s="4"/>
      <c r="B223" s="14"/>
      <c r="E223" s="4"/>
      <c r="F223" s="4"/>
      <c r="G223" s="10"/>
      <c r="H223" s="3"/>
    </row>
    <row r="224" spans="1:8" x14ac:dyDescent="0.2">
      <c r="A224" s="4"/>
      <c r="B224" s="14"/>
      <c r="E224" s="4"/>
      <c r="F224" s="4"/>
      <c r="G224" s="10"/>
      <c r="H224" s="3"/>
    </row>
    <row r="225" spans="1:8" x14ac:dyDescent="0.2">
      <c r="A225" s="12"/>
      <c r="B225" s="49"/>
      <c r="C225" s="49"/>
      <c r="D225" s="6"/>
      <c r="E225" s="6"/>
      <c r="F225" s="6"/>
      <c r="G225" s="9"/>
      <c r="H225" s="3"/>
    </row>
    <row r="226" spans="1:8" x14ac:dyDescent="0.2">
      <c r="A226" s="4"/>
      <c r="E226" s="4"/>
      <c r="F226" s="4"/>
      <c r="G226" s="10"/>
    </row>
    <row r="227" spans="1:8" x14ac:dyDescent="0.2">
      <c r="A227" s="4"/>
      <c r="E227" s="4"/>
      <c r="F227" s="4"/>
      <c r="G227" s="10"/>
      <c r="H227" s="6"/>
    </row>
    <row r="228" spans="1:8" x14ac:dyDescent="0.2">
      <c r="A228" s="4"/>
      <c r="E228" s="4"/>
      <c r="F228" s="4"/>
      <c r="G228" s="10"/>
      <c r="H228" s="5"/>
    </row>
    <row r="229" spans="1:8" x14ac:dyDescent="0.2">
      <c r="A229" s="4"/>
      <c r="E229" s="4"/>
      <c r="F229" s="4"/>
      <c r="G229" s="10"/>
      <c r="H229" s="5"/>
    </row>
    <row r="230" spans="1:8" x14ac:dyDescent="0.2">
      <c r="A230" s="6"/>
      <c r="B230" s="8"/>
      <c r="C230" s="8"/>
      <c r="E230" s="6"/>
      <c r="F230" s="6"/>
      <c r="G230" s="10"/>
      <c r="H230" s="5"/>
    </row>
    <row r="231" spans="1:8" x14ac:dyDescent="0.2">
      <c r="A231" s="4"/>
      <c r="E231" s="4"/>
      <c r="F231" s="4"/>
      <c r="G231" s="10"/>
      <c r="H231" s="5"/>
    </row>
    <row r="232" spans="1:8" x14ac:dyDescent="0.2">
      <c r="A232" s="4"/>
      <c r="E232" s="4"/>
      <c r="F232" s="4"/>
      <c r="G232" s="10"/>
      <c r="H232" s="5"/>
    </row>
    <row r="233" spans="1:8" x14ac:dyDescent="0.2">
      <c r="A233" s="4"/>
      <c r="E233" s="4"/>
      <c r="F233" s="4"/>
      <c r="G233" s="10"/>
      <c r="H233" s="5"/>
    </row>
    <row r="234" spans="1:8" x14ac:dyDescent="0.2">
      <c r="A234" s="4"/>
      <c r="E234" s="4"/>
      <c r="F234" s="11"/>
      <c r="G234" s="10"/>
      <c r="H234" s="5"/>
    </row>
    <row r="235" spans="1:8" x14ac:dyDescent="0.2">
      <c r="A235" s="4"/>
      <c r="E235" s="4"/>
      <c r="F235" s="11"/>
      <c r="G235" s="10"/>
      <c r="H235" s="5"/>
    </row>
    <row r="236" spans="1:8" x14ac:dyDescent="0.2">
      <c r="A236" s="13"/>
      <c r="B236" s="14"/>
      <c r="C236" s="14"/>
      <c r="E236" s="13"/>
      <c r="F236" s="13"/>
      <c r="G236" s="10"/>
      <c r="H236" s="5"/>
    </row>
    <row r="237" spans="1:8" x14ac:dyDescent="0.2">
      <c r="A237" s="13"/>
      <c r="B237" s="14"/>
      <c r="C237" s="14"/>
      <c r="E237" s="13"/>
      <c r="F237" s="13"/>
      <c r="G237" s="10"/>
      <c r="H237" s="5"/>
    </row>
    <row r="238" spans="1:8" x14ac:dyDescent="0.2">
      <c r="A238" s="13"/>
      <c r="B238" s="14"/>
      <c r="C238" s="14"/>
      <c r="E238" s="13"/>
      <c r="F238" s="13"/>
      <c r="G238" s="10"/>
      <c r="H238" s="5"/>
    </row>
    <row r="239" spans="1:8" x14ac:dyDescent="0.2">
      <c r="A239" s="4"/>
      <c r="B239" s="14"/>
      <c r="E239" s="4"/>
      <c r="F239" s="11"/>
      <c r="G239" s="10"/>
      <c r="H239" s="5"/>
    </row>
    <row r="240" spans="1:8" x14ac:dyDescent="0.2">
      <c r="A240" s="4"/>
      <c r="B240" s="14"/>
      <c r="E240" s="4"/>
      <c r="F240" s="11"/>
      <c r="G240" s="10"/>
      <c r="H240" s="5"/>
    </row>
    <row r="241" spans="1:8" x14ac:dyDescent="0.2">
      <c r="A241" s="2"/>
      <c r="B241" s="49"/>
      <c r="C241" s="49"/>
      <c r="D241" s="6"/>
      <c r="E241" s="6"/>
      <c r="F241" s="6"/>
      <c r="G241" s="9"/>
      <c r="H241" s="5"/>
    </row>
    <row r="242" spans="1:8" x14ac:dyDescent="0.2">
      <c r="A242" s="4"/>
      <c r="E242" s="4"/>
      <c r="F242" s="4"/>
      <c r="G242" s="10"/>
      <c r="H242" s="5"/>
    </row>
    <row r="243" spans="1:8" x14ac:dyDescent="0.2">
      <c r="A243" s="4"/>
      <c r="E243" s="4"/>
      <c r="F243" s="4"/>
      <c r="G243" s="10"/>
      <c r="H243" s="5"/>
    </row>
    <row r="244" spans="1:8" x14ac:dyDescent="0.2">
      <c r="A244" s="4"/>
      <c r="E244" s="4"/>
      <c r="F244" s="4"/>
      <c r="G244" s="10"/>
      <c r="H244" s="5"/>
    </row>
    <row r="245" spans="1:8" x14ac:dyDescent="0.2">
      <c r="A245" s="4"/>
      <c r="E245" s="4"/>
      <c r="F245" s="4"/>
      <c r="G245" s="10"/>
      <c r="H245" s="5"/>
    </row>
    <row r="246" spans="1:8" x14ac:dyDescent="0.2">
      <c r="A246" s="6"/>
      <c r="B246" s="8"/>
      <c r="C246" s="8"/>
      <c r="E246" s="6"/>
      <c r="F246" s="6"/>
      <c r="G246" s="10"/>
      <c r="H246" s="5"/>
    </row>
    <row r="247" spans="1:8" x14ac:dyDescent="0.2">
      <c r="A247" s="4"/>
      <c r="E247" s="4"/>
      <c r="F247" s="4"/>
      <c r="G247" s="10"/>
      <c r="H247" s="5"/>
    </row>
    <row r="248" spans="1:8" x14ac:dyDescent="0.2">
      <c r="A248" s="4"/>
      <c r="B248" s="15"/>
      <c r="C248" s="15"/>
      <c r="E248" s="4"/>
      <c r="F248" s="4"/>
      <c r="G248" s="10"/>
      <c r="H248" s="5"/>
    </row>
    <row r="249" spans="1:8" x14ac:dyDescent="0.2">
      <c r="A249" s="4"/>
      <c r="B249" s="15"/>
      <c r="C249" s="15"/>
      <c r="E249" s="4"/>
      <c r="F249" s="4"/>
      <c r="G249" s="10"/>
      <c r="H249" s="5"/>
    </row>
    <row r="250" spans="1:8" x14ac:dyDescent="0.2">
      <c r="A250" s="4"/>
      <c r="B250" s="15"/>
      <c r="C250" s="15"/>
      <c r="E250" s="4"/>
      <c r="G250" s="10"/>
      <c r="H250" s="5"/>
    </row>
    <row r="251" spans="1:8" x14ac:dyDescent="0.2">
      <c r="A251" s="6"/>
      <c r="B251" s="16"/>
      <c r="C251" s="16"/>
      <c r="E251" s="6"/>
      <c r="F251" s="6"/>
      <c r="G251" s="10"/>
      <c r="H251" s="3"/>
    </row>
    <row r="252" spans="1:8" x14ac:dyDescent="0.2">
      <c r="A252" s="13"/>
      <c r="B252" s="17"/>
      <c r="C252" s="17"/>
      <c r="E252" s="13"/>
      <c r="F252" s="13"/>
      <c r="G252" s="10"/>
      <c r="H252" s="3"/>
    </row>
    <row r="253" spans="1:8" x14ac:dyDescent="0.2">
      <c r="A253" s="13"/>
      <c r="B253" s="14"/>
      <c r="C253" s="17"/>
      <c r="E253" s="13"/>
      <c r="F253" s="13"/>
      <c r="G253" s="10"/>
      <c r="H253" s="3"/>
    </row>
    <row r="254" spans="1:8" x14ac:dyDescent="0.2">
      <c r="A254" s="13"/>
      <c r="B254" s="14"/>
      <c r="C254" s="14"/>
      <c r="E254" s="13"/>
      <c r="F254" s="13"/>
      <c r="G254" s="10"/>
      <c r="H254" s="3"/>
    </row>
    <row r="255" spans="1:8" x14ac:dyDescent="0.2">
      <c r="A255" s="6"/>
      <c r="B255" s="8"/>
      <c r="C255" s="6"/>
      <c r="E255" s="6"/>
      <c r="F255" s="6"/>
      <c r="G255" s="10"/>
      <c r="H255" s="3"/>
    </row>
    <row r="256" spans="1:8" x14ac:dyDescent="0.2">
      <c r="A256" s="6"/>
      <c r="B256" s="8"/>
      <c r="C256" s="6"/>
      <c r="E256" s="6"/>
      <c r="F256" s="6"/>
      <c r="G256" s="10"/>
      <c r="H256" s="3"/>
    </row>
    <row r="257" spans="1:8" x14ac:dyDescent="0.2">
      <c r="A257" s="12"/>
      <c r="B257" s="49"/>
      <c r="C257" s="49"/>
      <c r="D257" s="6"/>
      <c r="E257" s="6"/>
      <c r="F257" s="6"/>
      <c r="G257" s="9"/>
      <c r="H257" s="3"/>
    </row>
    <row r="258" spans="1:8" x14ac:dyDescent="0.2">
      <c r="A258" s="4"/>
      <c r="E258" s="4"/>
      <c r="F258" s="4"/>
      <c r="G258" s="10"/>
      <c r="H258" s="3"/>
    </row>
    <row r="259" spans="1:8" x14ac:dyDescent="0.2">
      <c r="A259" s="4"/>
      <c r="E259" s="4"/>
      <c r="F259" s="4"/>
      <c r="G259" s="10"/>
    </row>
    <row r="260" spans="1:8" x14ac:dyDescent="0.2">
      <c r="A260" s="4"/>
      <c r="E260" s="4"/>
      <c r="F260" s="4"/>
      <c r="G260" s="10"/>
      <c r="H260" s="6"/>
    </row>
    <row r="261" spans="1:8" x14ac:dyDescent="0.2">
      <c r="A261" s="4"/>
      <c r="E261" s="4"/>
      <c r="F261" s="4"/>
      <c r="G261" s="10"/>
      <c r="H261" s="6"/>
    </row>
    <row r="262" spans="1:8" x14ac:dyDescent="0.2">
      <c r="A262" s="6"/>
      <c r="B262" s="8"/>
      <c r="C262" s="8"/>
      <c r="E262" s="6"/>
      <c r="F262" s="6"/>
      <c r="G262" s="10"/>
      <c r="H262" s="6"/>
    </row>
    <row r="263" spans="1:8" x14ac:dyDescent="0.2">
      <c r="A263" s="4"/>
      <c r="E263" s="4"/>
      <c r="F263" s="4"/>
      <c r="G263" s="10"/>
      <c r="H263" s="5"/>
    </row>
    <row r="264" spans="1:8" x14ac:dyDescent="0.2">
      <c r="A264" s="4"/>
      <c r="E264" s="4"/>
      <c r="F264" s="4"/>
      <c r="G264" s="10"/>
      <c r="H264" s="5"/>
    </row>
    <row r="265" spans="1:8" x14ac:dyDescent="0.2">
      <c r="A265" s="4"/>
      <c r="E265" s="4"/>
      <c r="F265" s="4"/>
      <c r="G265" s="10"/>
      <c r="H265" s="5"/>
    </row>
    <row r="266" spans="1:8" x14ac:dyDescent="0.2">
      <c r="A266" s="4"/>
      <c r="E266" s="4"/>
      <c r="F266" s="4"/>
      <c r="G266" s="10"/>
      <c r="H266" s="5"/>
    </row>
    <row r="267" spans="1:8" x14ac:dyDescent="0.2">
      <c r="A267" s="4"/>
      <c r="E267" s="4"/>
      <c r="F267" s="4"/>
      <c r="G267" s="10"/>
      <c r="H267" s="5"/>
    </row>
    <row r="268" spans="1:8" x14ac:dyDescent="0.2">
      <c r="A268" s="13"/>
      <c r="B268" s="14"/>
      <c r="C268" s="14"/>
      <c r="E268" s="13"/>
      <c r="F268" s="13"/>
      <c r="G268" s="10"/>
      <c r="H268" s="5"/>
    </row>
    <row r="269" spans="1:8" x14ac:dyDescent="0.2">
      <c r="A269" s="13"/>
      <c r="B269" s="14"/>
      <c r="C269" s="14"/>
      <c r="E269" s="13"/>
      <c r="F269" s="13"/>
      <c r="G269" s="10"/>
      <c r="H269" s="5"/>
    </row>
    <row r="270" spans="1:8" x14ac:dyDescent="0.2">
      <c r="A270" s="13"/>
      <c r="B270" s="14"/>
      <c r="C270" s="14"/>
      <c r="E270" s="13"/>
      <c r="F270" s="13"/>
      <c r="G270" s="10"/>
      <c r="H270" s="5"/>
    </row>
    <row r="271" spans="1:8" x14ac:dyDescent="0.2">
      <c r="A271" s="6"/>
      <c r="B271" s="8"/>
      <c r="C271" s="8"/>
      <c r="E271" s="4"/>
      <c r="F271" s="4"/>
      <c r="G271" s="10"/>
      <c r="H271" s="5"/>
    </row>
    <row r="272" spans="1:8" x14ac:dyDescent="0.2">
      <c r="A272" s="4"/>
      <c r="B272" s="14"/>
      <c r="E272" s="4"/>
      <c r="F272" s="4"/>
      <c r="G272" s="10"/>
      <c r="H272" s="5"/>
    </row>
    <row r="273" spans="1:8" x14ac:dyDescent="0.2">
      <c r="A273" s="12"/>
      <c r="B273" s="49"/>
      <c r="C273" s="49"/>
      <c r="D273" s="6"/>
      <c r="E273" s="6"/>
      <c r="F273" s="6"/>
      <c r="G273" s="9"/>
      <c r="H273" s="5"/>
    </row>
    <row r="274" spans="1:8" x14ac:dyDescent="0.2">
      <c r="A274" s="4"/>
      <c r="E274" s="4"/>
      <c r="F274" s="4"/>
      <c r="G274" s="10"/>
      <c r="H274" s="5"/>
    </row>
    <row r="275" spans="1:8" x14ac:dyDescent="0.2">
      <c r="A275" s="4"/>
      <c r="E275" s="4"/>
      <c r="F275" s="4"/>
      <c r="G275" s="10"/>
      <c r="H275" s="5"/>
    </row>
    <row r="276" spans="1:8" x14ac:dyDescent="0.2">
      <c r="A276" s="4"/>
      <c r="E276" s="4"/>
      <c r="F276" s="4"/>
      <c r="G276" s="10"/>
      <c r="H276" s="5"/>
    </row>
    <row r="277" spans="1:8" x14ac:dyDescent="0.2">
      <c r="A277" s="4"/>
      <c r="E277" s="4"/>
      <c r="F277" s="4"/>
      <c r="G277" s="10"/>
      <c r="H277" s="5"/>
    </row>
    <row r="278" spans="1:8" x14ac:dyDescent="0.2">
      <c r="A278" s="6"/>
      <c r="B278" s="8"/>
      <c r="C278" s="8"/>
      <c r="E278" s="6"/>
      <c r="F278" s="6"/>
      <c r="G278" s="10"/>
      <c r="H278" s="5"/>
    </row>
    <row r="279" spans="1:8" x14ac:dyDescent="0.2">
      <c r="A279" s="4"/>
      <c r="E279" s="4"/>
      <c r="F279" s="4"/>
      <c r="G279" s="10"/>
      <c r="H279" s="5"/>
    </row>
    <row r="280" spans="1:8" x14ac:dyDescent="0.2">
      <c r="A280" s="4"/>
      <c r="E280" s="4"/>
      <c r="F280" s="4"/>
      <c r="G280" s="10"/>
      <c r="H280" s="5"/>
    </row>
    <row r="281" spans="1:8" x14ac:dyDescent="0.2">
      <c r="A281" s="4"/>
      <c r="E281" s="4"/>
      <c r="F281" s="4"/>
      <c r="G281" s="10"/>
      <c r="H281" s="5"/>
    </row>
    <row r="282" spans="1:8" x14ac:dyDescent="0.2">
      <c r="A282" s="4"/>
      <c r="E282" s="4"/>
      <c r="F282" s="4"/>
      <c r="G282" s="10"/>
      <c r="H282" s="5"/>
    </row>
    <row r="283" spans="1:8" x14ac:dyDescent="0.2">
      <c r="A283" s="4"/>
      <c r="E283" s="4"/>
      <c r="F283" s="4"/>
      <c r="G283" s="10"/>
      <c r="H283" s="5"/>
    </row>
    <row r="284" spans="1:8" x14ac:dyDescent="0.2">
      <c r="A284" s="13"/>
      <c r="B284" s="14"/>
      <c r="C284" s="14"/>
      <c r="E284" s="13"/>
      <c r="F284" s="13"/>
      <c r="G284" s="10"/>
      <c r="H284" s="5"/>
    </row>
    <row r="285" spans="1:8" x14ac:dyDescent="0.2">
      <c r="A285" s="13"/>
      <c r="B285" s="14"/>
      <c r="C285" s="14"/>
      <c r="E285" s="13"/>
      <c r="F285" s="13"/>
      <c r="G285" s="10"/>
      <c r="H285" s="5"/>
    </row>
    <row r="286" spans="1:8" x14ac:dyDescent="0.2">
      <c r="A286" s="13"/>
      <c r="B286" s="14"/>
      <c r="C286" s="14"/>
      <c r="E286" s="13"/>
      <c r="F286" s="13"/>
      <c r="G286" s="10"/>
      <c r="H286" s="5"/>
    </row>
    <row r="287" spans="1:8" x14ac:dyDescent="0.2">
      <c r="A287" s="4"/>
      <c r="B287" s="14"/>
      <c r="E287" s="4"/>
      <c r="F287" s="4"/>
      <c r="G287" s="10"/>
      <c r="H287" s="5"/>
    </row>
    <row r="288" spans="1:8" x14ac:dyDescent="0.2">
      <c r="A288" s="4"/>
      <c r="B288" s="14"/>
      <c r="E288" s="4"/>
      <c r="F288" s="4"/>
      <c r="G288" s="10"/>
      <c r="H288" s="5"/>
    </row>
    <row r="289" spans="1:8" x14ac:dyDescent="0.2">
      <c r="A289" s="12"/>
      <c r="B289" s="49"/>
      <c r="C289" s="49"/>
      <c r="D289" s="6"/>
      <c r="E289" s="6"/>
      <c r="F289" s="6"/>
      <c r="G289" s="9"/>
      <c r="H289" s="5"/>
    </row>
    <row r="290" spans="1:8" x14ac:dyDescent="0.2">
      <c r="A290" s="4"/>
      <c r="E290" s="4"/>
      <c r="F290" s="4"/>
      <c r="G290" s="10"/>
      <c r="H290" s="5"/>
    </row>
    <row r="291" spans="1:8" x14ac:dyDescent="0.2">
      <c r="A291" s="4"/>
      <c r="E291" s="4"/>
      <c r="F291" s="4"/>
      <c r="G291" s="10"/>
      <c r="H291" s="5"/>
    </row>
    <row r="292" spans="1:8" x14ac:dyDescent="0.2">
      <c r="A292" s="4"/>
      <c r="E292" s="4"/>
      <c r="F292" s="4"/>
      <c r="G292" s="10"/>
      <c r="H292" s="5"/>
    </row>
    <row r="293" spans="1:8" x14ac:dyDescent="0.2">
      <c r="A293" s="4"/>
      <c r="E293" s="4"/>
      <c r="F293" s="4"/>
      <c r="G293" s="10"/>
      <c r="H293" s="3"/>
    </row>
    <row r="294" spans="1:8" x14ac:dyDescent="0.2">
      <c r="A294" s="6"/>
      <c r="B294" s="8"/>
      <c r="C294" s="8"/>
      <c r="E294" s="6"/>
      <c r="F294" s="6"/>
      <c r="G294" s="10"/>
      <c r="H294" s="3"/>
    </row>
    <row r="295" spans="1:8" x14ac:dyDescent="0.2">
      <c r="A295" s="4"/>
      <c r="E295" s="4"/>
      <c r="F295" s="4"/>
      <c r="G295" s="10"/>
      <c r="H295" s="3"/>
    </row>
    <row r="296" spans="1:8" x14ac:dyDescent="0.2">
      <c r="A296" s="4"/>
      <c r="E296" s="4"/>
      <c r="F296" s="4"/>
      <c r="G296" s="10"/>
    </row>
    <row r="297" spans="1:8" x14ac:dyDescent="0.2">
      <c r="A297" s="4"/>
      <c r="E297" s="4"/>
      <c r="F297" s="4"/>
      <c r="G297" s="10"/>
      <c r="H297" s="6"/>
    </row>
    <row r="298" spans="1:8" x14ac:dyDescent="0.2">
      <c r="A298" s="4"/>
      <c r="E298" s="4"/>
      <c r="F298" s="4"/>
      <c r="G298" s="10"/>
      <c r="H298" s="3"/>
    </row>
    <row r="299" spans="1:8" x14ac:dyDescent="0.2">
      <c r="A299" s="4"/>
      <c r="E299" s="4"/>
      <c r="F299" s="4"/>
      <c r="G299" s="10"/>
      <c r="H299" s="3"/>
    </row>
    <row r="300" spans="1:8" x14ac:dyDescent="0.2">
      <c r="A300" s="13"/>
      <c r="B300" s="14"/>
      <c r="C300" s="14"/>
      <c r="E300" s="13"/>
      <c r="F300" s="13"/>
      <c r="G300" s="10"/>
      <c r="H300" s="3"/>
    </row>
    <row r="301" spans="1:8" x14ac:dyDescent="0.2">
      <c r="A301" s="13"/>
      <c r="B301" s="14"/>
      <c r="C301" s="14"/>
      <c r="E301" s="13"/>
      <c r="F301" s="13"/>
      <c r="G301" s="10"/>
      <c r="H301" s="3"/>
    </row>
    <row r="302" spans="1:8" x14ac:dyDescent="0.2">
      <c r="A302" s="13"/>
      <c r="B302" s="14"/>
      <c r="C302" s="14"/>
      <c r="E302" s="13"/>
      <c r="F302" s="13"/>
      <c r="G302" s="10"/>
      <c r="H302" s="3"/>
    </row>
    <row r="303" spans="1:8" x14ac:dyDescent="0.2">
      <c r="A303" s="4"/>
      <c r="B303" s="14"/>
      <c r="E303" s="4"/>
      <c r="F303" s="4"/>
      <c r="G303" s="10"/>
      <c r="H303" s="3"/>
    </row>
    <row r="304" spans="1:8" x14ac:dyDescent="0.2">
      <c r="A304" s="4"/>
      <c r="B304" s="14"/>
      <c r="E304" s="4"/>
      <c r="F304" s="4"/>
      <c r="G304" s="10"/>
      <c r="H304" s="3"/>
    </row>
    <row r="305" spans="1:8" x14ac:dyDescent="0.2">
      <c r="A305" s="12"/>
      <c r="B305" s="49"/>
      <c r="C305" s="49"/>
      <c r="D305" s="6"/>
      <c r="E305" s="6"/>
      <c r="F305" s="6"/>
      <c r="G305" s="9"/>
      <c r="H305" s="3"/>
    </row>
    <row r="306" spans="1:8" x14ac:dyDescent="0.2">
      <c r="A306" s="4"/>
      <c r="E306" s="4"/>
      <c r="F306" s="4"/>
      <c r="G306" s="10"/>
      <c r="H306" s="3"/>
    </row>
    <row r="307" spans="1:8" x14ac:dyDescent="0.2">
      <c r="A307" s="4"/>
      <c r="E307" s="4"/>
      <c r="F307" s="4"/>
      <c r="G307" s="10"/>
      <c r="H307" s="3"/>
    </row>
    <row r="308" spans="1:8" x14ac:dyDescent="0.2">
      <c r="A308" s="4"/>
      <c r="E308" s="4"/>
      <c r="F308" s="4"/>
      <c r="G308" s="10"/>
      <c r="H308" s="3"/>
    </row>
    <row r="309" spans="1:8" x14ac:dyDescent="0.2">
      <c r="A309" s="4"/>
      <c r="E309" s="4"/>
      <c r="F309" s="1"/>
      <c r="G309" s="10"/>
      <c r="H309" s="3"/>
    </row>
    <row r="310" spans="1:8" x14ac:dyDescent="0.2">
      <c r="A310" s="6"/>
      <c r="B310" s="8"/>
      <c r="C310" s="8"/>
      <c r="E310" s="4"/>
      <c r="F310" s="6"/>
      <c r="G310" s="10"/>
      <c r="H310" s="3"/>
    </row>
    <row r="311" spans="1:8" x14ac:dyDescent="0.2">
      <c r="A311" s="4"/>
      <c r="E311" s="4"/>
      <c r="F311" s="1"/>
      <c r="G311" s="10"/>
      <c r="H311" s="3"/>
    </row>
    <row r="312" spans="1:8" x14ac:dyDescent="0.2">
      <c r="A312" s="4"/>
      <c r="E312" s="4"/>
      <c r="F312" s="1"/>
      <c r="G312" s="10"/>
      <c r="H312" s="3"/>
    </row>
    <row r="313" spans="1:8" x14ac:dyDescent="0.2">
      <c r="A313" s="4"/>
      <c r="E313" s="4"/>
      <c r="F313" s="1"/>
      <c r="G313" s="10"/>
      <c r="H313" s="3"/>
    </row>
    <row r="314" spans="1:8" x14ac:dyDescent="0.2">
      <c r="A314" s="4"/>
      <c r="E314" s="4"/>
      <c r="F314" s="1"/>
      <c r="G314" s="10"/>
      <c r="H314" s="3"/>
    </row>
    <row r="315" spans="1:8" x14ac:dyDescent="0.2">
      <c r="A315" s="4"/>
      <c r="E315" s="4"/>
      <c r="F315" s="1"/>
      <c r="G315" s="10"/>
      <c r="H315" s="3"/>
    </row>
    <row r="316" spans="1:8" x14ac:dyDescent="0.2">
      <c r="A316" s="13"/>
      <c r="B316" s="14"/>
      <c r="C316" s="14"/>
      <c r="E316" s="13"/>
      <c r="F316" s="18"/>
      <c r="G316" s="10"/>
      <c r="H316" s="3"/>
    </row>
    <row r="317" spans="1:8" x14ac:dyDescent="0.2">
      <c r="A317" s="13"/>
      <c r="B317" s="14"/>
      <c r="C317" s="14"/>
      <c r="E317" s="13"/>
      <c r="F317" s="18"/>
      <c r="G317" s="10"/>
      <c r="H317" s="3"/>
    </row>
    <row r="318" spans="1:8" x14ac:dyDescent="0.2">
      <c r="A318" s="13"/>
      <c r="B318" s="14"/>
      <c r="C318" s="14"/>
      <c r="E318" s="13"/>
      <c r="F318" s="18"/>
      <c r="G318" s="10"/>
      <c r="H318" s="3"/>
    </row>
    <row r="319" spans="1:8" x14ac:dyDescent="0.2">
      <c r="A319" s="4"/>
      <c r="B319" s="14"/>
      <c r="E319" s="13"/>
      <c r="F319" s="1"/>
      <c r="G319" s="3"/>
      <c r="H319" s="3"/>
    </row>
    <row r="320" spans="1:8" x14ac:dyDescent="0.2">
      <c r="A320" s="4"/>
      <c r="B320" s="14"/>
      <c r="E320" s="13"/>
      <c r="F320" s="1"/>
      <c r="G320" s="3"/>
      <c r="H320" s="3"/>
    </row>
    <row r="321" spans="1:8" x14ac:dyDescent="0.2">
      <c r="A321" s="4"/>
      <c r="G321" s="3"/>
      <c r="H321" s="3"/>
    </row>
  </sheetData>
  <mergeCells count="38">
    <mergeCell ref="B141:C141"/>
    <mergeCell ref="B148:C148"/>
    <mergeCell ref="B155:C155"/>
    <mergeCell ref="B162:C162"/>
    <mergeCell ref="B169:C169"/>
    <mergeCell ref="B78:C78"/>
    <mergeCell ref="B85:C85"/>
    <mergeCell ref="B127:C127"/>
    <mergeCell ref="B134:C134"/>
    <mergeCell ref="B92:C92"/>
    <mergeCell ref="B99:C99"/>
    <mergeCell ref="B105:C105"/>
    <mergeCell ref="B106:C106"/>
    <mergeCell ref="B120:C120"/>
    <mergeCell ref="B112:C112"/>
    <mergeCell ref="B289:C289"/>
    <mergeCell ref="B305:C305"/>
    <mergeCell ref="B177:C177"/>
    <mergeCell ref="B209:C209"/>
    <mergeCell ref="B241:C241"/>
    <mergeCell ref="B257:C257"/>
    <mergeCell ref="B273:C273"/>
    <mergeCell ref="B1:C1"/>
    <mergeCell ref="B193:C193"/>
    <mergeCell ref="B225:C225"/>
    <mergeCell ref="B49:C49"/>
    <mergeCell ref="B113:C113"/>
    <mergeCell ref="B8:C8"/>
    <mergeCell ref="B15:C15"/>
    <mergeCell ref="B22:C22"/>
    <mergeCell ref="B29:C29"/>
    <mergeCell ref="B36:C36"/>
    <mergeCell ref="B43:C43"/>
    <mergeCell ref="B50:C50"/>
    <mergeCell ref="B57:C57"/>
    <mergeCell ref="B64:C64"/>
    <mergeCell ref="B71:C71"/>
    <mergeCell ref="B77:C7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 ttmnt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2023-01-30T17:34:45Z</dcterms:modified>
</cp:coreProperties>
</file>