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4/Mouse GI carriage/"/>
    </mc:Choice>
  </mc:AlternateContent>
  <xr:revisionPtr revIDLastSave="0" documentId="13_ncr:1_{A6488A15-7781-1A44-BDAB-DB320769A654}" xr6:coauthVersionLast="47" xr6:coauthVersionMax="47" xr10:uidLastSave="{00000000-0000-0000-0000-000000000000}"/>
  <bookViews>
    <workbookView xWindow="0" yWindow="500" windowWidth="28800" windowHeight="17500" activeTab="1" xr2:uid="{05D28018-5EC7-B748-ACA7-09DD0AD3B70C}"/>
  </bookViews>
  <sheets>
    <sheet name="indiv doses" sheetId="8" r:id="rId1"/>
    <sheet name="indiv carriage" sheetId="5" r:id="rId2"/>
    <sheet name="48 48pscJdel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74" i="5" l="1"/>
  <c r="F160" i="5"/>
  <c r="F146" i="5"/>
  <c r="F132" i="5"/>
  <c r="F118" i="5"/>
  <c r="F104" i="5"/>
  <c r="F90" i="5"/>
  <c r="F76" i="5"/>
  <c r="F62" i="5"/>
  <c r="F48" i="5"/>
  <c r="F173" i="5"/>
  <c r="F159" i="5"/>
  <c r="D159" i="5"/>
  <c r="F145" i="5"/>
  <c r="F131" i="5"/>
  <c r="F117" i="5"/>
  <c r="F103" i="5"/>
  <c r="F89" i="5"/>
  <c r="F75" i="5"/>
  <c r="F61" i="5"/>
  <c r="F47" i="5"/>
  <c r="F172" i="5"/>
  <c r="F158" i="5"/>
  <c r="F144" i="5"/>
  <c r="F130" i="5"/>
  <c r="F116" i="5"/>
  <c r="F102" i="5"/>
  <c r="F88" i="5"/>
  <c r="F74" i="5"/>
  <c r="F60" i="5"/>
  <c r="F46" i="5"/>
  <c r="F171" i="5"/>
  <c r="F157" i="5"/>
  <c r="F143" i="5"/>
  <c r="D143" i="5"/>
  <c r="G143" i="5" s="1"/>
  <c r="F129" i="5"/>
  <c r="F115" i="5"/>
  <c r="F101" i="5"/>
  <c r="F87" i="5"/>
  <c r="F73" i="5"/>
  <c r="F59" i="5"/>
  <c r="F45" i="5"/>
  <c r="F170" i="5"/>
  <c r="F156" i="5"/>
  <c r="F142" i="5"/>
  <c r="F128" i="5"/>
  <c r="F114" i="5"/>
  <c r="F100" i="5"/>
  <c r="F86" i="5"/>
  <c r="F72" i="5"/>
  <c r="F58" i="5"/>
  <c r="F44" i="5"/>
  <c r="F169" i="5"/>
  <c r="F168" i="5"/>
  <c r="F155" i="5"/>
  <c r="F154" i="5"/>
  <c r="F141" i="5"/>
  <c r="F140" i="5"/>
  <c r="F127" i="5"/>
  <c r="F126" i="5"/>
  <c r="F113" i="5"/>
  <c r="F112" i="5"/>
  <c r="F99" i="5"/>
  <c r="F98" i="5"/>
  <c r="F85" i="5"/>
  <c r="F84" i="5"/>
  <c r="F71" i="5"/>
  <c r="F70" i="5"/>
  <c r="F57" i="5"/>
  <c r="F56" i="5"/>
  <c r="F43" i="5"/>
  <c r="F42" i="5"/>
  <c r="D42" i="5"/>
  <c r="G42" i="5" s="1"/>
  <c r="F46" i="6"/>
  <c r="F39" i="6"/>
  <c r="F32" i="6"/>
  <c r="F25" i="6"/>
  <c r="F18" i="6"/>
  <c r="F167" i="5"/>
  <c r="F166" i="5"/>
  <c r="F153" i="5"/>
  <c r="F152" i="5"/>
  <c r="F139" i="5"/>
  <c r="F138" i="5"/>
  <c r="F125" i="5"/>
  <c r="F124" i="5"/>
  <c r="F111" i="5"/>
  <c r="F110" i="5"/>
  <c r="F97" i="5"/>
  <c r="F96" i="5"/>
  <c r="F83" i="5"/>
  <c r="F82" i="5"/>
  <c r="F69" i="5"/>
  <c r="F68" i="5"/>
  <c r="F55" i="5"/>
  <c r="F54" i="5"/>
  <c r="F41" i="5"/>
  <c r="F40" i="5"/>
  <c r="F34" i="5"/>
  <c r="F33" i="5"/>
  <c r="F27" i="5"/>
  <c r="F26" i="5"/>
  <c r="F20" i="5"/>
  <c r="F19" i="5"/>
  <c r="F13" i="5"/>
  <c r="F12" i="5"/>
  <c r="F6" i="5"/>
  <c r="F5" i="5"/>
  <c r="L24" i="6"/>
  <c r="L17" i="6"/>
  <c r="F45" i="6"/>
  <c r="F38" i="6"/>
  <c r="F31" i="6"/>
  <c r="F24" i="6"/>
  <c r="F17" i="6"/>
  <c r="F165" i="5"/>
  <c r="F164" i="5"/>
  <c r="F163" i="5"/>
  <c r="F151" i="5"/>
  <c r="F150" i="5"/>
  <c r="F149" i="5"/>
  <c r="F137" i="5"/>
  <c r="F136" i="5"/>
  <c r="F135" i="5"/>
  <c r="F123" i="5"/>
  <c r="F122" i="5"/>
  <c r="F121" i="5"/>
  <c r="F109" i="5"/>
  <c r="F108" i="5"/>
  <c r="F107" i="5"/>
  <c r="F95" i="5"/>
  <c r="F94" i="5"/>
  <c r="F93" i="5"/>
  <c r="F81" i="5"/>
  <c r="F80" i="5"/>
  <c r="F79" i="5"/>
  <c r="F67" i="5"/>
  <c r="F66" i="5"/>
  <c r="F65" i="5"/>
  <c r="F53" i="5"/>
  <c r="F52" i="5"/>
  <c r="F51" i="5"/>
  <c r="F39" i="5"/>
  <c r="F38" i="5"/>
  <c r="F37" i="5"/>
  <c r="F32" i="5"/>
  <c r="F31" i="5"/>
  <c r="F30" i="5"/>
  <c r="F25" i="5"/>
  <c r="F24" i="5"/>
  <c r="F23" i="5"/>
  <c r="F18" i="5"/>
  <c r="F17" i="5"/>
  <c r="F16" i="5"/>
  <c r="F11" i="5"/>
  <c r="F10" i="5"/>
  <c r="F9" i="5"/>
  <c r="F4" i="5"/>
  <c r="F3" i="5"/>
  <c r="F2" i="5"/>
  <c r="D37" i="5"/>
  <c r="G37" i="5" s="1"/>
  <c r="D38" i="5"/>
  <c r="G38" i="5" s="1"/>
  <c r="D39" i="5"/>
  <c r="G39" i="5" s="1"/>
  <c r="D2" i="5"/>
  <c r="G2" i="5" s="1"/>
  <c r="D3" i="5"/>
  <c r="D4" i="5"/>
  <c r="D174" i="5"/>
  <c r="G174" i="5" s="1"/>
  <c r="D173" i="5"/>
  <c r="G173" i="5" s="1"/>
  <c r="D172" i="5"/>
  <c r="G172" i="5" s="1"/>
  <c r="D171" i="5"/>
  <c r="G171" i="5" s="1"/>
  <c r="D170" i="5"/>
  <c r="G170" i="5" s="1"/>
  <c r="D169" i="5"/>
  <c r="G169" i="5" s="1"/>
  <c r="D168" i="5"/>
  <c r="G168" i="5" s="1"/>
  <c r="D167" i="5"/>
  <c r="G167" i="5" s="1"/>
  <c r="D166" i="5"/>
  <c r="G166" i="5" s="1"/>
  <c r="D165" i="5"/>
  <c r="G165" i="5" s="1"/>
  <c r="D164" i="5"/>
  <c r="G164" i="5" s="1"/>
  <c r="D163" i="5"/>
  <c r="G163" i="5" s="1"/>
  <c r="D160" i="5"/>
  <c r="G160" i="5" s="1"/>
  <c r="D158" i="5"/>
  <c r="G158" i="5" s="1"/>
  <c r="D157" i="5"/>
  <c r="G157" i="5" s="1"/>
  <c r="D156" i="5"/>
  <c r="G156" i="5" s="1"/>
  <c r="D155" i="5"/>
  <c r="G155" i="5" s="1"/>
  <c r="D154" i="5"/>
  <c r="D153" i="5"/>
  <c r="G153" i="5" s="1"/>
  <c r="D152" i="5"/>
  <c r="D151" i="5"/>
  <c r="G151" i="5" s="1"/>
  <c r="D150" i="5"/>
  <c r="G150" i="5" s="1"/>
  <c r="D149" i="5"/>
  <c r="G149" i="5" s="1"/>
  <c r="D146" i="5"/>
  <c r="D145" i="5"/>
  <c r="G145" i="5" s="1"/>
  <c r="D144" i="5"/>
  <c r="G144" i="5" s="1"/>
  <c r="D142" i="5"/>
  <c r="G142" i="5" s="1"/>
  <c r="D141" i="5"/>
  <c r="G141" i="5" s="1"/>
  <c r="D140" i="5"/>
  <c r="G140" i="5" s="1"/>
  <c r="D139" i="5"/>
  <c r="G139" i="5" s="1"/>
  <c r="D138" i="5"/>
  <c r="G138" i="5" s="1"/>
  <c r="D137" i="5"/>
  <c r="G137" i="5" s="1"/>
  <c r="D136" i="5"/>
  <c r="G136" i="5" s="1"/>
  <c r="D135" i="5"/>
  <c r="G135" i="5" s="1"/>
  <c r="D132" i="5"/>
  <c r="G132" i="5" s="1"/>
  <c r="D131" i="5"/>
  <c r="D130" i="5"/>
  <c r="G130" i="5" s="1"/>
  <c r="D129" i="5"/>
  <c r="D128" i="5"/>
  <c r="G128" i="5" s="1"/>
  <c r="D127" i="5"/>
  <c r="G127" i="5" s="1"/>
  <c r="D126" i="5"/>
  <c r="G126" i="5" s="1"/>
  <c r="D125" i="5"/>
  <c r="D124" i="5"/>
  <c r="G124" i="5" s="1"/>
  <c r="D123" i="5"/>
  <c r="G123" i="5" s="1"/>
  <c r="D122" i="5"/>
  <c r="G122" i="5" s="1"/>
  <c r="D121" i="5"/>
  <c r="G121" i="5" s="1"/>
  <c r="D118" i="5"/>
  <c r="D117" i="5"/>
  <c r="G117" i="5" s="1"/>
  <c r="D116" i="5"/>
  <c r="G116" i="5" s="1"/>
  <c r="D115" i="5"/>
  <c r="G115" i="5" s="1"/>
  <c r="D114" i="5"/>
  <c r="G114" i="5" s="1"/>
  <c r="D113" i="5"/>
  <c r="G113" i="5" s="1"/>
  <c r="D112" i="5"/>
  <c r="G112" i="5" s="1"/>
  <c r="D111" i="5"/>
  <c r="G111" i="5" s="1"/>
  <c r="D110" i="5"/>
  <c r="G110" i="5" s="1"/>
  <c r="D109" i="5"/>
  <c r="G109" i="5" s="1"/>
  <c r="D108" i="5"/>
  <c r="G108" i="5" s="1"/>
  <c r="D107" i="5"/>
  <c r="G107" i="5" s="1"/>
  <c r="D104" i="5"/>
  <c r="G104" i="5" s="1"/>
  <c r="D103" i="5"/>
  <c r="G103" i="5" s="1"/>
  <c r="D102" i="5"/>
  <c r="G102" i="5" s="1"/>
  <c r="D101" i="5"/>
  <c r="G101" i="5" s="1"/>
  <c r="D100" i="5"/>
  <c r="G100" i="5" s="1"/>
  <c r="D99" i="5"/>
  <c r="G99" i="5" s="1"/>
  <c r="D98" i="5"/>
  <c r="G98" i="5" s="1"/>
  <c r="D97" i="5"/>
  <c r="G97" i="5" s="1"/>
  <c r="D96" i="5"/>
  <c r="G96" i="5" s="1"/>
  <c r="D95" i="5"/>
  <c r="D94" i="5"/>
  <c r="G94" i="5" s="1"/>
  <c r="D93" i="5"/>
  <c r="G93" i="5" s="1"/>
  <c r="D90" i="5"/>
  <c r="G90" i="5" s="1"/>
  <c r="D89" i="5"/>
  <c r="D88" i="5"/>
  <c r="G88" i="5" s="1"/>
  <c r="D87" i="5"/>
  <c r="G87" i="5" s="1"/>
  <c r="D86" i="5"/>
  <c r="G86" i="5" s="1"/>
  <c r="D85" i="5"/>
  <c r="G85" i="5" s="1"/>
  <c r="D84" i="5"/>
  <c r="G84" i="5" s="1"/>
  <c r="D83" i="5"/>
  <c r="G83" i="5" s="1"/>
  <c r="D82" i="5"/>
  <c r="G82" i="5" s="1"/>
  <c r="D81" i="5"/>
  <c r="G81" i="5" s="1"/>
  <c r="D80" i="5"/>
  <c r="G80" i="5" s="1"/>
  <c r="D79" i="5"/>
  <c r="G79" i="5" s="1"/>
  <c r="D76" i="5"/>
  <c r="D75" i="5"/>
  <c r="G75" i="5" s="1"/>
  <c r="D74" i="5"/>
  <c r="G74" i="5" s="1"/>
  <c r="D73" i="5"/>
  <c r="G73" i="5" s="1"/>
  <c r="D72" i="5"/>
  <c r="D71" i="5"/>
  <c r="G71" i="5" s="1"/>
  <c r="D70" i="5"/>
  <c r="G70" i="5" s="1"/>
  <c r="D69" i="5"/>
  <c r="G69" i="5" s="1"/>
  <c r="D68" i="5"/>
  <c r="G68" i="5" s="1"/>
  <c r="D67" i="5"/>
  <c r="G67" i="5" s="1"/>
  <c r="D66" i="5"/>
  <c r="G66" i="5" s="1"/>
  <c r="D65" i="5"/>
  <c r="G65" i="5" s="1"/>
  <c r="D62" i="5"/>
  <c r="G62" i="5" s="1"/>
  <c r="D61" i="5"/>
  <c r="D60" i="5"/>
  <c r="D59" i="5"/>
  <c r="G59" i="5" s="1"/>
  <c r="D58" i="5"/>
  <c r="G58" i="5" s="1"/>
  <c r="D57" i="5"/>
  <c r="G57" i="5" s="1"/>
  <c r="D56" i="5"/>
  <c r="G56" i="5" s="1"/>
  <c r="D55" i="5"/>
  <c r="G55" i="5" s="1"/>
  <c r="D54" i="5"/>
  <c r="G54" i="5" s="1"/>
  <c r="D53" i="5"/>
  <c r="G53" i="5" s="1"/>
  <c r="D52" i="5"/>
  <c r="G52" i="5" s="1"/>
  <c r="D51" i="5"/>
  <c r="G51" i="5" s="1"/>
  <c r="D43" i="5"/>
  <c r="G43" i="5" s="1"/>
  <c r="D44" i="5"/>
  <c r="G44" i="5" s="1"/>
  <c r="D45" i="5"/>
  <c r="D46" i="5"/>
  <c r="G46" i="5" s="1"/>
  <c r="D47" i="5"/>
  <c r="G47" i="5" s="1"/>
  <c r="D48" i="5"/>
  <c r="G48" i="5" s="1"/>
  <c r="F44" i="6"/>
  <c r="F43" i="6"/>
  <c r="F42" i="6"/>
  <c r="F37" i="6"/>
  <c r="F36" i="6"/>
  <c r="F35" i="6"/>
  <c r="L28" i="6"/>
  <c r="F30" i="6"/>
  <c r="F29" i="6"/>
  <c r="F28" i="6"/>
  <c r="F23" i="6"/>
  <c r="F22" i="6"/>
  <c r="F21" i="6"/>
  <c r="K14" i="6"/>
  <c r="F16" i="6"/>
  <c r="F15" i="6"/>
  <c r="F14" i="6"/>
  <c r="H8" i="6"/>
  <c r="C10" i="6"/>
  <c r="C9" i="6"/>
  <c r="C8" i="6"/>
  <c r="J15" i="6"/>
  <c r="E5" i="8"/>
  <c r="E4" i="8"/>
  <c r="F4" i="8" s="1"/>
  <c r="G4" i="8" s="1"/>
  <c r="E3" i="8"/>
  <c r="E2" i="8"/>
  <c r="G118" i="5" l="1"/>
  <c r="G76" i="5"/>
  <c r="G146" i="5"/>
  <c r="G159" i="5"/>
  <c r="G131" i="5"/>
  <c r="G89" i="5"/>
  <c r="G61" i="5"/>
  <c r="G60" i="5"/>
  <c r="G129" i="5"/>
  <c r="G45" i="5"/>
  <c r="G72" i="5"/>
  <c r="G154" i="5"/>
  <c r="G152" i="5"/>
  <c r="G125" i="5"/>
  <c r="G95" i="5"/>
  <c r="F2" i="8"/>
  <c r="G2" i="8" s="1"/>
  <c r="J46" i="6"/>
  <c r="D46" i="6"/>
  <c r="J45" i="6"/>
  <c r="D45" i="6"/>
  <c r="J44" i="6"/>
  <c r="D44" i="6"/>
  <c r="J43" i="6"/>
  <c r="D43" i="6"/>
  <c r="J42" i="6"/>
  <c r="D42" i="6"/>
  <c r="J39" i="6"/>
  <c r="D39" i="6"/>
  <c r="J38" i="6"/>
  <c r="D38" i="6"/>
  <c r="J37" i="6"/>
  <c r="D37" i="6"/>
  <c r="J36" i="6"/>
  <c r="D36" i="6"/>
  <c r="J35" i="6"/>
  <c r="D35" i="6"/>
  <c r="J32" i="6"/>
  <c r="D32" i="6"/>
  <c r="J31" i="6"/>
  <c r="D31" i="6"/>
  <c r="J30" i="6"/>
  <c r="D30" i="6"/>
  <c r="J29" i="6"/>
  <c r="D29" i="6"/>
  <c r="J28" i="6"/>
  <c r="D28" i="6"/>
  <c r="J25" i="6"/>
  <c r="D25" i="6"/>
  <c r="J24" i="6"/>
  <c r="D24" i="6"/>
  <c r="J23" i="6"/>
  <c r="D23" i="6"/>
  <c r="J22" i="6"/>
  <c r="D22" i="6"/>
  <c r="J21" i="6"/>
  <c r="D21" i="6"/>
  <c r="J14" i="6"/>
  <c r="J18" i="6"/>
  <c r="D18" i="6"/>
  <c r="J17" i="6"/>
  <c r="D17" i="6"/>
  <c r="J16" i="6"/>
  <c r="D16" i="6"/>
  <c r="D15" i="6"/>
  <c r="D14" i="6"/>
  <c r="E10" i="6"/>
  <c r="E9" i="6"/>
  <c r="E8" i="6"/>
  <c r="E7" i="6"/>
  <c r="E6" i="6"/>
  <c r="E5" i="6"/>
  <c r="E4" i="6"/>
  <c r="E3" i="6"/>
  <c r="E2" i="6"/>
  <c r="K46" i="6" l="1"/>
  <c r="K43" i="6"/>
  <c r="K15" i="6"/>
  <c r="K39" i="6"/>
  <c r="K32" i="6"/>
  <c r="K25" i="6"/>
  <c r="K45" i="6"/>
  <c r="K44" i="6"/>
  <c r="K42" i="6"/>
  <c r="K38" i="6"/>
  <c r="K37" i="6"/>
  <c r="K36" i="6"/>
  <c r="K35" i="6"/>
  <c r="K31" i="6"/>
  <c r="K30" i="6"/>
  <c r="K29" i="6"/>
  <c r="K28" i="6"/>
  <c r="K24" i="6"/>
  <c r="K23" i="6"/>
  <c r="K22" i="6"/>
  <c r="K21" i="6"/>
  <c r="K16" i="6"/>
  <c r="K18" i="6"/>
  <c r="K17" i="6"/>
  <c r="F5" i="6"/>
  <c r="G5" i="6" s="1"/>
  <c r="F2" i="6"/>
  <c r="G2" i="6" s="1"/>
  <c r="F8" i="6"/>
  <c r="G8" i="6" s="1"/>
  <c r="L37" i="6" l="1"/>
  <c r="L38" i="6" l="1"/>
  <c r="L23" i="6"/>
  <c r="L39" i="6"/>
  <c r="L18" i="6"/>
  <c r="L25" i="6"/>
  <c r="L31" i="6"/>
  <c r="L44" i="6"/>
  <c r="L16" i="6"/>
  <c r="L36" i="6"/>
  <c r="L35" i="6"/>
  <c r="L42" i="6"/>
  <c r="L46" i="6"/>
  <c r="L43" i="6"/>
  <c r="L29" i="6"/>
  <c r="L21" i="6"/>
  <c r="L45" i="6"/>
  <c r="L14" i="6"/>
  <c r="L30" i="6"/>
  <c r="L15" i="6"/>
  <c r="L22" i="6"/>
  <c r="L32" i="6"/>
  <c r="D41" i="5"/>
  <c r="G41" i="5" s="1"/>
  <c r="D40" i="5"/>
  <c r="D34" i="5"/>
  <c r="G34" i="5" s="1"/>
  <c r="D33" i="5"/>
  <c r="G33" i="5" s="1"/>
  <c r="D32" i="5"/>
  <c r="G32" i="5" s="1"/>
  <c r="D31" i="5"/>
  <c r="D30" i="5"/>
  <c r="G30" i="5" s="1"/>
  <c r="D27" i="5"/>
  <c r="G27" i="5" s="1"/>
  <c r="D26" i="5"/>
  <c r="G26" i="5" s="1"/>
  <c r="D25" i="5"/>
  <c r="D24" i="5"/>
  <c r="G24" i="5" s="1"/>
  <c r="D23" i="5"/>
  <c r="G23" i="5" s="1"/>
  <c r="D20" i="5"/>
  <c r="D19" i="5"/>
  <c r="G19" i="5" s="1"/>
  <c r="D18" i="5"/>
  <c r="G18" i="5" s="1"/>
  <c r="D17" i="5"/>
  <c r="D16" i="5"/>
  <c r="G16" i="5" s="1"/>
  <c r="D13" i="5"/>
  <c r="G13" i="5" s="1"/>
  <c r="D12" i="5"/>
  <c r="G12" i="5" s="1"/>
  <c r="D11" i="5"/>
  <c r="G11" i="5" s="1"/>
  <c r="D10" i="5"/>
  <c r="D9" i="5"/>
  <c r="G9" i="5" s="1"/>
  <c r="D6" i="5"/>
  <c r="G6" i="5" s="1"/>
  <c r="D5" i="5"/>
  <c r="G5" i="5" s="1"/>
  <c r="G40" i="5" l="1"/>
  <c r="G31" i="5"/>
  <c r="G25" i="5"/>
  <c r="G17" i="5"/>
  <c r="G10" i="5"/>
  <c r="G4" i="5"/>
  <c r="G3" i="5"/>
  <c r="G20" i="5"/>
</calcChain>
</file>

<file path=xl/sharedStrings.xml><?xml version="1.0" encoding="utf-8"?>
<sst xmlns="http://schemas.openxmlformats.org/spreadsheetml/2006/main" count="330" uniqueCount="60">
  <si>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</si>
  <si>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</si>
  <si>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</si>
  <si>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</si>
  <si>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</si>
  <si>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</si>
  <si>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</si>
  <si>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</si>
  <si>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</si>
  <si>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</si>
  <si>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</si>
  <si>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</si>
  <si>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</si>
  <si>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</si>
  <si>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</si>
  <si>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Ratio input (WT/lacZ)</t>
  </si>
  <si>
    <t>TOTAL</t>
  </si>
  <si>
    <t>dilution factor</t>
  </si>
  <si>
    <t>Mean in 10µL</t>
  </si>
  <si>
    <t>Output WT/LacZ</t>
  </si>
  <si>
    <t>Compet index</t>
  </si>
  <si>
    <t>Compet index WT/LacZ</t>
  </si>
  <si>
    <t>OD600 reached</t>
  </si>
  <si>
    <t>BL006 - VBM plates</t>
  </si>
  <si>
    <t>BL048 ANT2''∆ (MLC81) vs BL048 attB::LacZ pscJ∆ (MLC183)</t>
  </si>
  <si>
    <t>BL048 ANT2''∆ - VBMXgal80 plates (white)</t>
  </si>
  <si>
    <t>BL048 attB::LacZ pscJ∆ - VBMXgal80 plates (blue)</t>
  </si>
  <si>
    <t>BL048 ANT2''∆ vs BL048 attB::LacZ pscJ∆ mouse 1</t>
  </si>
  <si>
    <t>BL048 ANT2''∆ vs BL048 attB::LacZ pscJ∆ mouse 2</t>
  </si>
  <si>
    <t>BL048 ANT2''∆ vs BL048 attB::LacZ pscJ∆ mouse 3</t>
  </si>
  <si>
    <t>BL048 ANT2''∆ vs BL048 attB::LacZ pscJ∆ mouse 4</t>
  </si>
  <si>
    <t>BL048 ANT2''∆ vs BL048 attB::LacZ pscJ∆ mouse 5</t>
  </si>
  <si>
    <t>number of blue CFU (BL048 attB::LacZ pscJ∆)</t>
  </si>
  <si>
    <t>number of blue/gentR CFU (BL048 attB::LacZ pscJ∆)</t>
  </si>
  <si>
    <t>number of white CFU (BL048 ANT2''∆)</t>
  </si>
  <si>
    <t>BL048 - VBM plates</t>
  </si>
  <si>
    <t>BL006 mouse 1 - 10^5.9</t>
  </si>
  <si>
    <t xml:space="preserve">day 10 </t>
  </si>
  <si>
    <t>BL006 mouse 2 - 10^5.9</t>
  </si>
  <si>
    <t>BL006 mouse 3 - 10^5.9</t>
  </si>
  <si>
    <t>BL006 mouse 4 - 10^5.9</t>
  </si>
  <si>
    <t>BL006 mouse 5 - 10^5.9</t>
  </si>
  <si>
    <t>day 21</t>
  </si>
  <si>
    <t>day 28</t>
  </si>
  <si>
    <t>day 35</t>
  </si>
  <si>
    <t>day 42</t>
  </si>
  <si>
    <t>day 49</t>
  </si>
  <si>
    <t>day 56</t>
  </si>
  <si>
    <t>day 60</t>
  </si>
  <si>
    <t>BL048 ♀ mouse 1 - 10^6.0</t>
  </si>
  <si>
    <t>BL048 ♀ mouse 2 - 10^6.0</t>
  </si>
  <si>
    <t>BL048 ♀ mouse 3 - 10^6.0</t>
  </si>
  <si>
    <t>BL048 ♀ mouse 4 - 10^6.0</t>
  </si>
  <si>
    <t>BL048 ♀ mouse 15- 10^6.0</t>
  </si>
  <si>
    <t>BL048 ♂ mouse 1 - 10^6.0</t>
  </si>
  <si>
    <t>BL048 ♂ mouse 2 - 10^6.0</t>
  </si>
  <si>
    <t>BL048 ♂ mouse 3 - 10^6.0</t>
  </si>
  <si>
    <t>BL048 ♂ mouse 4 - 10^6.0</t>
  </si>
  <si>
    <t>BL048 ♂ mouse 5 - 10^6.0</t>
  </si>
  <si>
    <t xml:space="preserve"> 0.409 200:20 dilution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</si>
</sst>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0" fontId="1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5" xfId="0" applyBorder="1"/>
    <xf numFmtId="11" fontId="0" fillId="0" borderId="6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0" fontId="0" fillId="0" borderId="11" xfId="0" applyBorder="1"/>
    <xf numFmtId="11" fontId="0" fillId="0" borderId="12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2" xfId="0" applyBorder="1"/>
    <xf numFmtId="11" fontId="0" fillId="0" borderId="12" xfId="0" applyNumberFormat="1" applyBorder="1" applyAlignment="1">
      <alignment horizontal="center"/>
    </xf>
    <xf numFmtId="11" fontId="0" fillId="0" borderId="14" xfId="0" applyNumberFormat="1" applyBorder="1" applyAlignment="1">
      <alignment horizontal="center"/>
    </xf>
    <xf numFmtId="0" fontId="0" fillId="0" borderId="23" xfId="0" applyBorder="1"/>
    <xf numFmtId="11" fontId="0" fillId="0" borderId="23" xfId="0" applyNumberFormat="1" applyBorder="1" applyAlignment="1">
      <alignment horizontal="center"/>
    </xf>
    <xf numFmtId="11" fontId="0" fillId="0" borderId="23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21" xfId="0" applyBorder="1"/>
    <xf numFmtId="165" fontId="0" fillId="0" borderId="0" xfId="0" applyNumberFormat="1"/>
    <xf numFmtId="165" fontId="0" fillId="3" borderId="0" xfId="0" applyNumberFormat="1" applyFill="1"/>
    <xf numFmtId="165" fontId="0" fillId="0" borderId="0" xfId="0" applyNumberFormat="1" applyAlignment="1">
      <alignment horizontal="center" vertical="center" wrapText="1"/>
    </xf>
    <xf numFmtId="2" fontId="0" fillId="3" borderId="0" xfId="0" applyNumberFormat="1" applyFill="1"/>
    <xf numFmtId="0" fontId="0" fillId="0" borderId="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25" xfId="0" applyNumberFormat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1" fontId="0" fillId="0" borderId="12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4FC5-8FB2-8E4B-A47D-4D2B1A3866D4}">
  <dimension ref="B1:I5"/>
  <sheetViews>
    <sheetView workbookViewId="0">
      <selection activeCell="I6" sqref="I6"/>
    </sheetView>
  </sheetViews>
  <sheetFormatPr baseColWidth="10" defaultRowHeight="16" x14ac:dyDescent="0.2"/>
  <cols>
    <col min="5" max="5" width="11.1640625" customWidth="1"/>
  </cols>
  <sheetData>
    <row r="1" spans="2:9" ht="29" thickBot="1" x14ac:dyDescent="0.25">
      <c r="B1" s="1"/>
      <c r="C1" s="20" t="s">
        <v>5</v>
      </c>
      <c r="D1" s="20" t="s">
        <v>6</v>
      </c>
      <c r="E1" s="20" t="s">
        <v>10</v>
      </c>
      <c r="F1" s="20" t="s">
        <v>7</v>
      </c>
      <c r="G1" s="20" t="s">
        <v>8</v>
      </c>
      <c r="H1" s="20"/>
      <c r="I1" s="20" t="s">
        <v>22</v>
      </c>
    </row>
    <row r="2" spans="2:9" x14ac:dyDescent="0.2">
      <c r="B2" s="39" t="s">
        <v>35</v>
      </c>
      <c r="C2" s="21">
        <v>26</v>
      </c>
      <c r="D2" s="22">
        <v>10000</v>
      </c>
      <c r="E2" s="23">
        <f t="shared" ref="E2:E5" si="0">C2*5*D2</f>
        <v>1300000</v>
      </c>
      <c r="F2" s="41">
        <f>AVERAGE(E2:E3)</f>
        <v>1100000</v>
      </c>
      <c r="G2" s="43">
        <f>LOG10(F2)</f>
        <v>6.0413926851582254</v>
      </c>
      <c r="I2" s="45">
        <v>0.38900000000000001</v>
      </c>
    </row>
    <row r="3" spans="2:9" ht="17" thickBot="1" x14ac:dyDescent="0.25">
      <c r="B3" s="40"/>
      <c r="C3" s="34">
        <v>18</v>
      </c>
      <c r="D3" s="32">
        <v>10000</v>
      </c>
      <c r="E3" s="32">
        <f t="shared" si="0"/>
        <v>900000</v>
      </c>
      <c r="F3" s="42"/>
      <c r="G3" s="44"/>
      <c r="I3" s="45"/>
    </row>
    <row r="4" spans="2:9" x14ac:dyDescent="0.2">
      <c r="B4" s="39" t="s">
        <v>23</v>
      </c>
      <c r="C4" s="21">
        <v>13</v>
      </c>
      <c r="D4" s="22">
        <v>10000</v>
      </c>
      <c r="E4" s="23">
        <f t="shared" si="0"/>
        <v>650000</v>
      </c>
      <c r="F4" s="41">
        <f>AVERAGE(E4:E5)</f>
        <v>800000</v>
      </c>
      <c r="G4" s="43">
        <f>LOG10(F4)</f>
        <v>5.9030899869919438</v>
      </c>
      <c r="I4" s="45">
        <v>0.40699999999999997</v>
      </c>
    </row>
    <row r="5" spans="2:9" ht="17" thickBot="1" x14ac:dyDescent="0.25">
      <c r="B5" s="40"/>
      <c r="C5" s="34">
        <v>19</v>
      </c>
      <c r="D5" s="32">
        <v>10000</v>
      </c>
      <c r="E5" s="32">
        <f t="shared" si="0"/>
        <v>950000</v>
      </c>
      <c r="F5" s="42"/>
      <c r="G5" s="44"/>
      <c r="I5" s="45"/>
    </row>
  </sheetData>
  <mergeCells count="8">
    <mergeCell ref="B2:B3"/>
    <mergeCell ref="F2:F3"/>
    <mergeCell ref="G2:G3"/>
    <mergeCell ref="I2:I3"/>
    <mergeCell ref="B4:B5"/>
    <mergeCell ref="F4:F5"/>
    <mergeCell ref="G4:G5"/>
    <mergeCell ref="I4:I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174"/>
  <sheetViews>
    <sheetView tabSelected="1" topLeftCell="A160" zoomScale="116" zoomScaleNormal="116" workbookViewId="0">
      <selection activeCell="F175" sqref="F175"/>
    </sheetView>
  </sheetViews>
  <sheetFormatPr baseColWidth="10" defaultRowHeight="16" x14ac:dyDescent="0.2"/>
  <cols>
    <col min="1" max="1" width="16.83203125" customWidth="1"/>
  </cols>
  <sheetData>
    <row r="1" spans="1:14" ht="51" x14ac:dyDescent="0.2">
      <c r="A1" s="2" t="s">
        <v>36</v>
      </c>
      <c r="B1" s="46" t="s">
        <v>0</v>
      </c>
      <c r="C1" s="46"/>
      <c r="D1" s="6" t="s">
        <v>1</v>
      </c>
      <c r="E1" s="6" t="s">
        <v>4</v>
      </c>
      <c r="F1" s="6" t="s">
        <v>2</v>
      </c>
      <c r="G1" s="8" t="s">
        <v>3</v>
      </c>
      <c r="H1" s="9"/>
    </row>
    <row r="2" spans="1:14" x14ac:dyDescent="0.2">
      <c r="A2" s="4" t="s">
        <v>11</v>
      </c>
      <c r="B2">
        <v>32</v>
      </c>
      <c r="C2">
        <v>35</v>
      </c>
      <c r="D2">
        <f>AVERAGE(B2:C2)</f>
        <v>33.5</v>
      </c>
      <c r="E2" s="4">
        <v>10000</v>
      </c>
      <c r="F2" s="4">
        <f>1750.2-1728.8</f>
        <v>21.400000000000091</v>
      </c>
      <c r="G2" s="9">
        <f>LOG10(D2*100*E2/F2*1000)</f>
        <v>9.1946310336876529</v>
      </c>
      <c r="H2" s="9"/>
      <c r="J2" s="19"/>
      <c r="K2" s="19"/>
      <c r="L2" s="19"/>
      <c r="M2" s="19"/>
    </row>
    <row r="3" spans="1:14" x14ac:dyDescent="0.2">
      <c r="A3" s="4" t="s">
        <v>12</v>
      </c>
      <c r="B3">
        <v>34</v>
      </c>
      <c r="C3">
        <v>30</v>
      </c>
      <c r="D3">
        <f>AVERAGE(B3:C3)</f>
        <v>32</v>
      </c>
      <c r="E3" s="4">
        <v>10000</v>
      </c>
      <c r="F3" s="4">
        <f>1777.9-1734.7</f>
        <v>43.200000000000045</v>
      </c>
      <c r="G3" s="9">
        <f>LOG10(D3*100*E3/F3*1000)</f>
        <v>8.8696662315049934</v>
      </c>
      <c r="H3" s="9"/>
      <c r="K3" s="1"/>
      <c r="L3" s="1"/>
    </row>
    <row r="4" spans="1:14" x14ac:dyDescent="0.2">
      <c r="A4" s="4" t="s">
        <v>9</v>
      </c>
      <c r="B4">
        <v>24</v>
      </c>
      <c r="C4">
        <v>26</v>
      </c>
      <c r="D4">
        <f>AVERAGE(B4:C4)</f>
        <v>25</v>
      </c>
      <c r="E4" s="4">
        <v>10000</v>
      </c>
      <c r="F4" s="4">
        <f>1973.5-1903.4</f>
        <v>70.099999999999909</v>
      </c>
      <c r="G4" s="9">
        <f>LOG10(D4*100*E4/F4*1000)</f>
        <v>8.5522219907053803</v>
      </c>
      <c r="H4" s="9"/>
      <c r="K4" s="1"/>
      <c r="L4" s="1"/>
      <c r="N4" s="18"/>
    </row>
    <row r="5" spans="1:14" x14ac:dyDescent="0.2">
      <c r="A5" s="4" t="s">
        <v>14</v>
      </c>
      <c r="B5">
        <v>21</v>
      </c>
      <c r="C5">
        <v>26</v>
      </c>
      <c r="D5">
        <f t="shared" ref="D5:D6" si="0">AVERAGE(B5:C5)</f>
        <v>23.5</v>
      </c>
      <c r="E5" s="4">
        <v>10000</v>
      </c>
      <c r="F5" s="4">
        <f>1827.4-1756.7</f>
        <v>70.700000000000045</v>
      </c>
      <c r="G5" s="9">
        <f t="shared" ref="G5:G6" si="1">LOG10(D5*100*E5/F5*1000)</f>
        <v>8.5216484484748367</v>
      </c>
      <c r="H5" s="9"/>
      <c r="K5" s="1"/>
      <c r="L5" s="1"/>
    </row>
    <row r="6" spans="1:14" ht="17" x14ac:dyDescent="0.2">
      <c r="A6" s="6" t="s">
        <v>13</v>
      </c>
      <c r="B6" s="7">
        <v>11</v>
      </c>
      <c r="C6" s="7">
        <v>11</v>
      </c>
      <c r="D6">
        <f t="shared" si="0"/>
        <v>11</v>
      </c>
      <c r="E6" s="6">
        <v>1000</v>
      </c>
      <c r="F6" s="6">
        <f>2027.3-1974.4</f>
        <v>52.899999999999864</v>
      </c>
      <c r="G6" s="9">
        <f t="shared" si="1"/>
        <v>7.3179370131230401</v>
      </c>
      <c r="H6" s="9"/>
      <c r="K6" s="1"/>
      <c r="L6" s="1"/>
    </row>
    <row r="7" spans="1:14" x14ac:dyDescent="0.2">
      <c r="A7" s="4"/>
      <c r="E7" s="4"/>
      <c r="F7" s="4"/>
      <c r="G7" s="9"/>
      <c r="H7" s="9"/>
      <c r="K7" s="1"/>
      <c r="L7" s="1"/>
    </row>
    <row r="8" spans="1:14" ht="51" x14ac:dyDescent="0.2">
      <c r="A8" s="2" t="s">
        <v>38</v>
      </c>
      <c r="B8" s="46" t="s">
        <v>0</v>
      </c>
      <c r="C8" s="46"/>
      <c r="D8" s="6" t="s">
        <v>1</v>
      </c>
      <c r="E8" s="6" t="s">
        <v>4</v>
      </c>
      <c r="F8" s="6" t="s">
        <v>2</v>
      </c>
      <c r="G8" s="8" t="s">
        <v>3</v>
      </c>
      <c r="H8" s="9"/>
    </row>
    <row r="9" spans="1:14" x14ac:dyDescent="0.2">
      <c r="A9" s="4" t="s">
        <v>11</v>
      </c>
      <c r="B9">
        <v>16</v>
      </c>
      <c r="C9">
        <v>20</v>
      </c>
      <c r="D9">
        <f>AVERAGE(B9:C9)</f>
        <v>18</v>
      </c>
      <c r="E9" s="4">
        <v>10000</v>
      </c>
      <c r="F9" s="4">
        <f>1753.6-1722.5</f>
        <v>31.099999999999909</v>
      </c>
      <c r="G9" s="9">
        <f>LOG10(D9*100*E9/F9*1000)</f>
        <v>8.7625121160764703</v>
      </c>
      <c r="H9" s="9"/>
    </row>
    <row r="10" spans="1:14" x14ac:dyDescent="0.2">
      <c r="A10" s="4" t="s">
        <v>12</v>
      </c>
      <c r="B10">
        <v>39</v>
      </c>
      <c r="C10">
        <v>41</v>
      </c>
      <c r="D10">
        <f t="shared" ref="D10:D13" si="2">AVERAGE(B10:C10)</f>
        <v>40</v>
      </c>
      <c r="E10" s="4">
        <v>10000</v>
      </c>
      <c r="F10" s="4">
        <f>1970.3-1869.8</f>
        <v>100.5</v>
      </c>
      <c r="G10" s="9">
        <f>LOG10(D10*100*E10/F10*1000)</f>
        <v>8.5998939295714543</v>
      </c>
      <c r="H10" s="9"/>
    </row>
    <row r="11" spans="1:14" x14ac:dyDescent="0.2">
      <c r="A11" s="4" t="s">
        <v>9</v>
      </c>
      <c r="B11">
        <v>4</v>
      </c>
      <c r="C11">
        <v>13</v>
      </c>
      <c r="D11">
        <f t="shared" si="2"/>
        <v>8.5</v>
      </c>
      <c r="E11" s="4">
        <v>10000</v>
      </c>
      <c r="F11" s="4">
        <f>2002.1-1892.9</f>
        <v>109.19999999999982</v>
      </c>
      <c r="G11" s="9">
        <f t="shared" ref="G11:G13" si="3">LOG10(D11*100*E11/F11*1000)</f>
        <v>7.8911962873455748</v>
      </c>
      <c r="H11" s="9"/>
    </row>
    <row r="12" spans="1:14" x14ac:dyDescent="0.2">
      <c r="A12" s="4" t="s">
        <v>14</v>
      </c>
      <c r="B12">
        <v>11</v>
      </c>
      <c r="C12">
        <v>12</v>
      </c>
      <c r="D12">
        <f t="shared" si="2"/>
        <v>11.5</v>
      </c>
      <c r="E12" s="4">
        <v>1000</v>
      </c>
      <c r="F12" s="4">
        <f>2009.3-1902.4</f>
        <v>106.89999999999986</v>
      </c>
      <c r="G12" s="9">
        <f t="shared" si="3"/>
        <v>7.031720135144834</v>
      </c>
      <c r="H12" s="9"/>
    </row>
    <row r="13" spans="1:14" ht="17" x14ac:dyDescent="0.2">
      <c r="A13" s="6" t="s">
        <v>13</v>
      </c>
      <c r="B13" s="7">
        <v>12</v>
      </c>
      <c r="C13" s="7">
        <v>10</v>
      </c>
      <c r="D13">
        <f t="shared" si="2"/>
        <v>11</v>
      </c>
      <c r="E13" s="6">
        <v>100</v>
      </c>
      <c r="F13" s="6">
        <f>1995.8-1897.4</f>
        <v>98.399999999999864</v>
      </c>
      <c r="G13" s="9">
        <f t="shared" si="3"/>
        <v>6.0483975867268844</v>
      </c>
      <c r="H13" s="9"/>
    </row>
    <row r="14" spans="1:14" x14ac:dyDescent="0.2">
      <c r="A14" s="11"/>
      <c r="B14" s="46"/>
      <c r="C14" s="46"/>
      <c r="D14" s="6"/>
      <c r="E14" s="6"/>
      <c r="F14" s="6"/>
      <c r="G14" s="8"/>
      <c r="H14" s="9"/>
    </row>
    <row r="15" spans="1:14" ht="51" x14ac:dyDescent="0.2">
      <c r="A15" s="2" t="s">
        <v>39</v>
      </c>
      <c r="B15" s="46" t="s">
        <v>0</v>
      </c>
      <c r="C15" s="46"/>
      <c r="D15" s="6" t="s">
        <v>1</v>
      </c>
      <c r="E15" s="6" t="s">
        <v>4</v>
      </c>
      <c r="F15" s="6" t="s">
        <v>2</v>
      </c>
      <c r="G15" s="8" t="s">
        <v>3</v>
      </c>
      <c r="H15" s="9"/>
    </row>
    <row r="16" spans="1:14" x14ac:dyDescent="0.2">
      <c r="A16" s="4" t="s">
        <v>11</v>
      </c>
      <c r="B16">
        <v>43</v>
      </c>
      <c r="C16">
        <v>47</v>
      </c>
      <c r="D16">
        <f>AVERAGE(B16:C16)</f>
        <v>45</v>
      </c>
      <c r="E16" s="4">
        <v>1000</v>
      </c>
      <c r="F16" s="4">
        <f>1909.4-1865.5</f>
        <v>43.900000000000091</v>
      </c>
      <c r="G16" s="9">
        <f>LOG10(D16*100*E16/F16*1000)</f>
        <v>8.0107479935332222</v>
      </c>
      <c r="H16" s="9"/>
    </row>
    <row r="17" spans="1:8" x14ac:dyDescent="0.2">
      <c r="A17" s="4" t="s">
        <v>12</v>
      </c>
      <c r="B17">
        <v>15</v>
      </c>
      <c r="C17">
        <v>17</v>
      </c>
      <c r="D17">
        <f t="shared" ref="D17:D20" si="4">AVERAGE(B17:C17)</f>
        <v>16</v>
      </c>
      <c r="E17" s="4">
        <v>10000</v>
      </c>
      <c r="F17" s="4">
        <f>1758.7-1714.9</f>
        <v>43.799999999999955</v>
      </c>
      <c r="G17" s="9">
        <f>LOG10(D17*100*E17/F17*1000)</f>
        <v>8.5626458721518262</v>
      </c>
      <c r="H17" s="9"/>
    </row>
    <row r="18" spans="1:8" x14ac:dyDescent="0.2">
      <c r="A18" s="4" t="s">
        <v>9</v>
      </c>
      <c r="B18">
        <v>27</v>
      </c>
      <c r="C18">
        <v>19</v>
      </c>
      <c r="D18">
        <f t="shared" si="4"/>
        <v>23</v>
      </c>
      <c r="E18" s="4">
        <v>10000</v>
      </c>
      <c r="F18" s="4">
        <f>1869.2-1827.1</f>
        <v>42.100000000000136</v>
      </c>
      <c r="G18" s="9">
        <f t="shared" ref="G18:G20" si="5">LOG10(D18*100*E18/F18*1000)</f>
        <v>8.7374457401819239</v>
      </c>
      <c r="H18" s="9"/>
    </row>
    <row r="19" spans="1:8" x14ac:dyDescent="0.2">
      <c r="A19" s="4" t="s">
        <v>14</v>
      </c>
      <c r="B19">
        <v>30</v>
      </c>
      <c r="C19">
        <v>28</v>
      </c>
      <c r="D19">
        <f t="shared" si="4"/>
        <v>29</v>
      </c>
      <c r="E19" s="4">
        <v>1000</v>
      </c>
      <c r="F19" s="4">
        <f>2019.7-1958.1</f>
        <v>61.600000000000136</v>
      </c>
      <c r="G19" s="9">
        <f t="shared" si="5"/>
        <v>7.6728172857345296</v>
      </c>
      <c r="H19" s="9"/>
    </row>
    <row r="20" spans="1:8" ht="17" x14ac:dyDescent="0.2">
      <c r="A20" s="6" t="s">
        <v>13</v>
      </c>
      <c r="B20" s="7">
        <v>39</v>
      </c>
      <c r="C20" s="7">
        <v>44</v>
      </c>
      <c r="D20">
        <f t="shared" si="4"/>
        <v>41.5</v>
      </c>
      <c r="E20" s="6">
        <v>1</v>
      </c>
      <c r="F20" s="6">
        <f>1941.8-1892.2</f>
        <v>49.599999999999909</v>
      </c>
      <c r="G20" s="9">
        <f t="shared" si="5"/>
        <v>4.9225664202218962</v>
      </c>
      <c r="H20" s="9"/>
    </row>
    <row r="21" spans="1:8" x14ac:dyDescent="0.2">
      <c r="A21" s="4"/>
      <c r="E21" s="4"/>
      <c r="F21" s="4"/>
      <c r="G21" s="9"/>
      <c r="H21" s="9"/>
    </row>
    <row r="22" spans="1:8" ht="51" x14ac:dyDescent="0.2">
      <c r="A22" s="2" t="s">
        <v>40</v>
      </c>
      <c r="B22" s="46" t="s">
        <v>0</v>
      </c>
      <c r="C22" s="46"/>
      <c r="D22" s="6" t="s">
        <v>1</v>
      </c>
      <c r="E22" s="6" t="s">
        <v>4</v>
      </c>
      <c r="F22" s="6" t="s">
        <v>2</v>
      </c>
      <c r="G22" s="8" t="s">
        <v>3</v>
      </c>
      <c r="H22" s="9"/>
    </row>
    <row r="23" spans="1:8" x14ac:dyDescent="0.2">
      <c r="A23" s="4" t="s">
        <v>11</v>
      </c>
      <c r="B23">
        <v>31</v>
      </c>
      <c r="C23">
        <v>37</v>
      </c>
      <c r="D23">
        <f>AVERAGE(B23:C23)</f>
        <v>34</v>
      </c>
      <c r="E23" s="4">
        <v>10000</v>
      </c>
      <c r="F23" s="4">
        <f>1784-1725.3</f>
        <v>58.700000000000045</v>
      </c>
      <c r="G23" s="9">
        <f>LOG10(D23*100*E23/F23*1000)</f>
        <v>8.7628408157946396</v>
      </c>
      <c r="H23" s="9"/>
    </row>
    <row r="24" spans="1:8" x14ac:dyDescent="0.2">
      <c r="A24" s="4" t="s">
        <v>12</v>
      </c>
      <c r="B24">
        <v>57</v>
      </c>
      <c r="C24">
        <v>54</v>
      </c>
      <c r="D24">
        <f t="shared" ref="D24:D27" si="6">AVERAGE(B24:C24)</f>
        <v>55.5</v>
      </c>
      <c r="E24" s="4">
        <v>1000</v>
      </c>
      <c r="F24" s="4">
        <f>1896-1802.8</f>
        <v>93.200000000000045</v>
      </c>
      <c r="G24" s="9">
        <f>LOG10(D24*100*E24/F24*1000)</f>
        <v>7.7748770707686949</v>
      </c>
      <c r="H24" s="9"/>
    </row>
    <row r="25" spans="1:8" x14ac:dyDescent="0.2">
      <c r="A25" s="4" t="s">
        <v>9</v>
      </c>
      <c r="B25">
        <v>41</v>
      </c>
      <c r="C25">
        <v>40</v>
      </c>
      <c r="D25">
        <f t="shared" si="6"/>
        <v>40.5</v>
      </c>
      <c r="E25" s="4">
        <v>100</v>
      </c>
      <c r="F25" s="4">
        <f>2002.1-1967.1</f>
        <v>35</v>
      </c>
      <c r="G25" s="9">
        <f t="shared" ref="G25:G27" si="7">LOG10(D25*100*E25/F25*1000)</f>
        <v>7.0633869788643926</v>
      </c>
      <c r="H25" s="9"/>
    </row>
    <row r="26" spans="1:8" x14ac:dyDescent="0.2">
      <c r="A26" s="4" t="s">
        <v>14</v>
      </c>
      <c r="B26">
        <v>81</v>
      </c>
      <c r="C26">
        <v>79</v>
      </c>
      <c r="D26">
        <f t="shared" si="6"/>
        <v>80</v>
      </c>
      <c r="E26" s="4">
        <v>10</v>
      </c>
      <c r="F26" s="4">
        <f>1972.2-1900.5</f>
        <v>71.700000000000045</v>
      </c>
      <c r="G26" s="9">
        <f t="shared" si="7"/>
        <v>6.0475708313241432</v>
      </c>
      <c r="H26" s="9"/>
    </row>
    <row r="27" spans="1:8" ht="17" x14ac:dyDescent="0.2">
      <c r="A27" s="6" t="s">
        <v>13</v>
      </c>
      <c r="B27" s="7">
        <v>12</v>
      </c>
      <c r="C27" s="7">
        <v>13</v>
      </c>
      <c r="D27">
        <f t="shared" si="6"/>
        <v>12.5</v>
      </c>
      <c r="E27" s="6">
        <v>1</v>
      </c>
      <c r="F27" s="6">
        <f>1947.5-1891.6</f>
        <v>55.900000000000091</v>
      </c>
      <c r="G27" s="9">
        <f t="shared" si="7"/>
        <v>4.3494982051216322</v>
      </c>
      <c r="H27" s="9"/>
    </row>
    <row r="28" spans="1:8" x14ac:dyDescent="0.2">
      <c r="A28" s="4"/>
      <c r="E28" s="4"/>
      <c r="F28" s="4"/>
      <c r="G28" s="9"/>
      <c r="H28" s="9"/>
    </row>
    <row r="29" spans="1:8" ht="51" x14ac:dyDescent="0.2">
      <c r="A29" s="2" t="s">
        <v>41</v>
      </c>
      <c r="B29" s="46" t="s">
        <v>0</v>
      </c>
      <c r="C29" s="46"/>
      <c r="D29" s="6" t="s">
        <v>1</v>
      </c>
      <c r="E29" s="6" t="s">
        <v>4</v>
      </c>
      <c r="F29" s="6" t="s">
        <v>2</v>
      </c>
      <c r="G29" s="8" t="s">
        <v>3</v>
      </c>
      <c r="H29" s="8"/>
    </row>
    <row r="30" spans="1:8" x14ac:dyDescent="0.2">
      <c r="A30" s="4" t="s">
        <v>11</v>
      </c>
      <c r="B30">
        <v>9</v>
      </c>
      <c r="C30">
        <v>12</v>
      </c>
      <c r="D30">
        <f>AVERAGE(B30:C30)</f>
        <v>10.5</v>
      </c>
      <c r="E30" s="4">
        <v>10000</v>
      </c>
      <c r="F30" s="4">
        <f>1984.4-1960.3</f>
        <v>24.100000000000136</v>
      </c>
      <c r="G30" s="9">
        <f>LOG10(D30*100*E30/F30*1000)</f>
        <v>8.6391722564950673</v>
      </c>
      <c r="H30" s="9"/>
    </row>
    <row r="31" spans="1:8" x14ac:dyDescent="0.2">
      <c r="A31" s="4" t="s">
        <v>12</v>
      </c>
      <c r="B31">
        <v>30</v>
      </c>
      <c r="C31">
        <v>38</v>
      </c>
      <c r="D31">
        <f t="shared" ref="D31:D34" si="8">AVERAGE(B31:C31)</f>
        <v>34</v>
      </c>
      <c r="E31" s="4">
        <v>10000</v>
      </c>
      <c r="F31" s="4">
        <f>1878.2-1847.9</f>
        <v>30.299999999999955</v>
      </c>
      <c r="G31" s="9">
        <f>LOG10(D31*100*E31/F31*1000)</f>
        <v>9.0500362885399515</v>
      </c>
      <c r="H31" s="9"/>
    </row>
    <row r="32" spans="1:8" x14ac:dyDescent="0.2">
      <c r="A32" s="4" t="s">
        <v>9</v>
      </c>
      <c r="B32">
        <v>32</v>
      </c>
      <c r="C32">
        <v>28</v>
      </c>
      <c r="D32">
        <f t="shared" si="8"/>
        <v>30</v>
      </c>
      <c r="E32" s="4">
        <v>10000</v>
      </c>
      <c r="F32" s="4">
        <f>1924.4-1830.2</f>
        <v>94.200000000000045</v>
      </c>
      <c r="G32" s="9">
        <f t="shared" ref="G32:G34" si="9">LOG10(D32*100*E32/F32*1000)</f>
        <v>8.5030703519267856</v>
      </c>
      <c r="H32" s="9"/>
    </row>
    <row r="33" spans="1:8" x14ac:dyDescent="0.2">
      <c r="A33" s="4" t="s">
        <v>37</v>
      </c>
      <c r="B33">
        <v>49</v>
      </c>
      <c r="C33">
        <v>61</v>
      </c>
      <c r="D33">
        <f t="shared" si="8"/>
        <v>55</v>
      </c>
      <c r="E33" s="4">
        <v>100</v>
      </c>
      <c r="F33" s="4">
        <f>1839.1-1821.7</f>
        <v>17.399999999999864</v>
      </c>
      <c r="G33" s="9">
        <f t="shared" si="9"/>
        <v>7.4998134412116473</v>
      </c>
      <c r="H33" s="9"/>
    </row>
    <row r="34" spans="1:8" ht="17" x14ac:dyDescent="0.2">
      <c r="A34" s="6" t="s">
        <v>13</v>
      </c>
      <c r="B34" s="7">
        <v>22</v>
      </c>
      <c r="C34" s="7">
        <v>18</v>
      </c>
      <c r="D34">
        <f t="shared" si="8"/>
        <v>20</v>
      </c>
      <c r="E34" s="6">
        <v>100</v>
      </c>
      <c r="F34" s="6">
        <f>1942.6-1908.9</f>
        <v>33.699999999999818</v>
      </c>
      <c r="G34" s="9">
        <f t="shared" si="9"/>
        <v>6.7734000947926445</v>
      </c>
      <c r="H34" s="9"/>
    </row>
    <row r="35" spans="1:8" s="16" customFormat="1" x14ac:dyDescent="0.2">
      <c r="A35" s="15"/>
      <c r="E35" s="15"/>
      <c r="F35" s="15"/>
      <c r="G35" s="17"/>
      <c r="H35" s="17"/>
    </row>
    <row r="36" spans="1:8" ht="51" x14ac:dyDescent="0.2">
      <c r="A36" s="11" t="s">
        <v>49</v>
      </c>
      <c r="B36" s="46" t="s">
        <v>0</v>
      </c>
      <c r="C36" s="46"/>
      <c r="D36" s="6" t="s">
        <v>1</v>
      </c>
      <c r="E36" s="6" t="s">
        <v>4</v>
      </c>
      <c r="F36" s="6" t="s">
        <v>2</v>
      </c>
      <c r="G36" s="8" t="s">
        <v>3</v>
      </c>
      <c r="H36" s="9"/>
    </row>
    <row r="37" spans="1:8" x14ac:dyDescent="0.2">
      <c r="A37" s="4" t="s">
        <v>11</v>
      </c>
      <c r="B37">
        <v>45</v>
      </c>
      <c r="C37">
        <v>47</v>
      </c>
      <c r="D37">
        <f>AVERAGE(B37:C37)</f>
        <v>46</v>
      </c>
      <c r="E37" s="4">
        <v>1000</v>
      </c>
      <c r="F37" s="4">
        <f>1832.6-1804.7</f>
        <v>27.899999999999864</v>
      </c>
      <c r="G37" s="9">
        <f>LOG10(D37*100*E37/F37*1000)</f>
        <v>8.2171536284079778</v>
      </c>
      <c r="H37" s="9"/>
    </row>
    <row r="38" spans="1:8" x14ac:dyDescent="0.2">
      <c r="A38" s="4" t="s">
        <v>12</v>
      </c>
      <c r="B38">
        <v>32</v>
      </c>
      <c r="C38">
        <v>23</v>
      </c>
      <c r="D38">
        <f>AVERAGE(B38:C38)</f>
        <v>27.5</v>
      </c>
      <c r="E38" s="4">
        <v>10000</v>
      </c>
      <c r="F38" s="4">
        <f>1691.8-1652.2</f>
        <v>39.599999999999909</v>
      </c>
      <c r="G38" s="9">
        <f>LOG10(D38*100*E38/F38*1000)</f>
        <v>8.8416375079047516</v>
      </c>
      <c r="H38" s="9"/>
    </row>
    <row r="39" spans="1:8" x14ac:dyDescent="0.2">
      <c r="A39" s="4" t="s">
        <v>9</v>
      </c>
      <c r="B39">
        <v>18</v>
      </c>
      <c r="C39">
        <v>23</v>
      </c>
      <c r="D39">
        <f>AVERAGE(B39:C39)</f>
        <v>20.5</v>
      </c>
      <c r="E39" s="4">
        <v>10000</v>
      </c>
      <c r="F39" s="4">
        <f>1801.9-1718.7</f>
        <v>83.200000000000045</v>
      </c>
      <c r="G39" s="9">
        <f>LOG10(D39*100*E39/F39*1000)</f>
        <v>8.3916305347650297</v>
      </c>
      <c r="H39" s="9"/>
    </row>
    <row r="40" spans="1:8" x14ac:dyDescent="0.2">
      <c r="A40" s="4" t="s">
        <v>14</v>
      </c>
      <c r="B40">
        <v>47</v>
      </c>
      <c r="C40">
        <v>44</v>
      </c>
      <c r="D40">
        <f t="shared" ref="D40:D48" si="10">AVERAGE(B40:C40)</f>
        <v>45.5</v>
      </c>
      <c r="E40" s="4">
        <v>100</v>
      </c>
      <c r="F40" s="4">
        <f>1873.6-1817.5</f>
        <v>56.099999999999909</v>
      </c>
      <c r="G40" s="9">
        <f t="shared" ref="G40:G48" si="11">LOG10(D40*100*E40/F40*1000)</f>
        <v>6.9090485354009514</v>
      </c>
      <c r="H40" s="9"/>
    </row>
    <row r="41" spans="1:8" ht="17" x14ac:dyDescent="0.2">
      <c r="A41" s="6" t="s">
        <v>13</v>
      </c>
      <c r="B41" s="7">
        <v>48</v>
      </c>
      <c r="C41" s="7">
        <v>41</v>
      </c>
      <c r="D41">
        <f t="shared" si="10"/>
        <v>44.5</v>
      </c>
      <c r="E41" s="6">
        <v>100</v>
      </c>
      <c r="F41" s="6">
        <f>1916.7-1833.1</f>
        <v>83.600000000000136</v>
      </c>
      <c r="G41" s="9">
        <f t="shared" si="11"/>
        <v>6.7261537335419144</v>
      </c>
      <c r="H41" s="9"/>
    </row>
    <row r="42" spans="1:8" x14ac:dyDescent="0.2">
      <c r="A42" s="4" t="s">
        <v>42</v>
      </c>
      <c r="B42">
        <v>10</v>
      </c>
      <c r="C42">
        <v>7</v>
      </c>
      <c r="D42">
        <f>AVERAGE(B42:C42)</f>
        <v>8.5</v>
      </c>
      <c r="E42" s="4">
        <v>100</v>
      </c>
      <c r="F42" s="4">
        <f>1871.4-1826.6</f>
        <v>44.800000000000182</v>
      </c>
      <c r="G42" s="9">
        <f t="shared" si="11"/>
        <v>6.2781409117161466</v>
      </c>
      <c r="H42" s="9"/>
    </row>
    <row r="43" spans="1:8" x14ac:dyDescent="0.2">
      <c r="A43" s="4" t="s">
        <v>43</v>
      </c>
      <c r="B43">
        <v>10</v>
      </c>
      <c r="C43">
        <v>13</v>
      </c>
      <c r="D43">
        <f t="shared" si="10"/>
        <v>11.5</v>
      </c>
      <c r="E43" s="4">
        <v>100</v>
      </c>
      <c r="F43" s="4">
        <f>1919.9-1875.8</f>
        <v>44.100000000000136</v>
      </c>
      <c r="G43" s="9">
        <f t="shared" si="11"/>
        <v>6.4162592508857719</v>
      </c>
      <c r="H43" s="9"/>
    </row>
    <row r="44" spans="1:8" x14ac:dyDescent="0.2">
      <c r="A44" s="4" t="s">
        <v>44</v>
      </c>
      <c r="B44">
        <v>8</v>
      </c>
      <c r="C44">
        <v>8</v>
      </c>
      <c r="D44">
        <f t="shared" si="10"/>
        <v>8</v>
      </c>
      <c r="E44" s="4">
        <v>100</v>
      </c>
      <c r="F44" s="4">
        <f>1928.7-1886.4</f>
        <v>42.299999999999955</v>
      </c>
      <c r="G44" s="9">
        <f t="shared" si="11"/>
        <v>6.2767496196169015</v>
      </c>
      <c r="H44" s="9"/>
    </row>
    <row r="45" spans="1:8" x14ac:dyDescent="0.2">
      <c r="A45" s="4" t="s">
        <v>45</v>
      </c>
      <c r="B45">
        <v>21</v>
      </c>
      <c r="C45">
        <v>14</v>
      </c>
      <c r="D45">
        <f t="shared" si="10"/>
        <v>17.5</v>
      </c>
      <c r="E45" s="4">
        <v>100</v>
      </c>
      <c r="F45" s="4">
        <f>1858-1815.7</f>
        <v>42.299999999999955</v>
      </c>
      <c r="G45" s="9">
        <f t="shared" si="11"/>
        <v>6.616697681311253</v>
      </c>
      <c r="H45" s="9"/>
    </row>
    <row r="46" spans="1:8" x14ac:dyDescent="0.2">
      <c r="A46" s="12" t="s">
        <v>46</v>
      </c>
      <c r="B46" s="13">
        <v>23</v>
      </c>
      <c r="C46" s="13">
        <v>28</v>
      </c>
      <c r="D46">
        <f t="shared" si="10"/>
        <v>25.5</v>
      </c>
      <c r="E46" s="12">
        <v>100</v>
      </c>
      <c r="F46" s="12">
        <f>1883-1811</f>
        <v>72</v>
      </c>
      <c r="G46" s="9">
        <f t="shared" si="11"/>
        <v>6.5492076840026865</v>
      </c>
      <c r="H46" s="9"/>
    </row>
    <row r="47" spans="1:8" x14ac:dyDescent="0.2">
      <c r="A47" s="12" t="s">
        <v>47</v>
      </c>
      <c r="B47" s="13">
        <v>55</v>
      </c>
      <c r="C47" s="13">
        <v>56</v>
      </c>
      <c r="D47">
        <f t="shared" si="10"/>
        <v>55.5</v>
      </c>
      <c r="E47" s="12">
        <v>100</v>
      </c>
      <c r="F47" s="12">
        <f>1797.4-1686.7</f>
        <v>110.70000000000005</v>
      </c>
      <c r="G47" s="9">
        <f t="shared" si="11"/>
        <v>6.7001453622439531</v>
      </c>
      <c r="H47" s="9"/>
    </row>
    <row r="48" spans="1:8" x14ac:dyDescent="0.2">
      <c r="A48" s="12" t="s">
        <v>48</v>
      </c>
      <c r="B48" s="13">
        <v>15</v>
      </c>
      <c r="C48" s="13">
        <v>13</v>
      </c>
      <c r="D48">
        <f t="shared" si="10"/>
        <v>14</v>
      </c>
      <c r="E48" s="12">
        <v>100</v>
      </c>
      <c r="F48" s="12">
        <f>1862.8-1742</f>
        <v>120.79999999999995</v>
      </c>
      <c r="G48" s="9">
        <f t="shared" si="11"/>
        <v>6.0640611013931256</v>
      </c>
      <c r="H48" s="9"/>
    </row>
    <row r="49" spans="1:8" x14ac:dyDescent="0.2">
      <c r="A49" s="4"/>
      <c r="B49" s="13"/>
      <c r="C49" s="13"/>
      <c r="E49" s="4"/>
      <c r="F49" s="4"/>
      <c r="G49" s="9"/>
      <c r="H49" s="5"/>
    </row>
    <row r="50" spans="1:8" ht="51" x14ac:dyDescent="0.2">
      <c r="A50" s="11" t="s">
        <v>50</v>
      </c>
      <c r="B50" s="46" t="s">
        <v>0</v>
      </c>
      <c r="C50" s="46"/>
      <c r="D50" s="6" t="s">
        <v>1</v>
      </c>
      <c r="E50" s="6" t="s">
        <v>4</v>
      </c>
      <c r="F50" s="6" t="s">
        <v>2</v>
      </c>
      <c r="G50" s="8" t="s">
        <v>3</v>
      </c>
      <c r="H50" s="5"/>
    </row>
    <row r="51" spans="1:8" x14ac:dyDescent="0.2">
      <c r="A51" s="4" t="s">
        <v>11</v>
      </c>
      <c r="B51">
        <v>60</v>
      </c>
      <c r="C51">
        <v>51</v>
      </c>
      <c r="D51">
        <f>AVERAGE(B51:C51)</f>
        <v>55.5</v>
      </c>
      <c r="E51" s="4">
        <v>1000</v>
      </c>
      <c r="F51" s="4">
        <f>1828.9-1803.1</f>
        <v>25.800000000000182</v>
      </c>
      <c r="G51" s="9">
        <f>LOG10(D51*100*E51/F51*1000)</f>
        <v>8.3326732771594436</v>
      </c>
      <c r="H51" s="5"/>
    </row>
    <row r="52" spans="1:8" x14ac:dyDescent="0.2">
      <c r="A52" s="4" t="s">
        <v>12</v>
      </c>
      <c r="B52">
        <v>57</v>
      </c>
      <c r="C52">
        <v>60</v>
      </c>
      <c r="D52">
        <f t="shared" ref="D52:D62" si="12">AVERAGE(B52:C52)</f>
        <v>58.5</v>
      </c>
      <c r="E52" s="4">
        <v>1000</v>
      </c>
      <c r="F52" s="4">
        <f>1748.3-1731.8</f>
        <v>16.5</v>
      </c>
      <c r="G52" s="9">
        <f>LOG10(D52*100*E52/F52*1000)</f>
        <v>8.5496719218682742</v>
      </c>
      <c r="H52" s="5"/>
    </row>
    <row r="53" spans="1:8" x14ac:dyDescent="0.2">
      <c r="A53" s="4" t="s">
        <v>9</v>
      </c>
      <c r="B53">
        <v>20</v>
      </c>
      <c r="C53">
        <v>25</v>
      </c>
      <c r="D53">
        <f t="shared" si="12"/>
        <v>22.5</v>
      </c>
      <c r="E53" s="4">
        <v>1000</v>
      </c>
      <c r="F53" s="4">
        <f>2042.3-1889.5</f>
        <v>152.79999999999995</v>
      </c>
      <c r="G53" s="9">
        <f t="shared" ref="G53:G62" si="13">LOG10(D53*100*E53/F53*1000)</f>
        <v>7.1680591638716917</v>
      </c>
      <c r="H53" s="5"/>
    </row>
    <row r="54" spans="1:8" x14ac:dyDescent="0.2">
      <c r="A54" s="4" t="s">
        <v>14</v>
      </c>
      <c r="B54">
        <v>30</v>
      </c>
      <c r="C54">
        <v>39</v>
      </c>
      <c r="D54">
        <f t="shared" si="12"/>
        <v>34.5</v>
      </c>
      <c r="E54" s="4">
        <v>10</v>
      </c>
      <c r="F54" s="4">
        <f>1952.3-1900.6</f>
        <v>51.700000000000045</v>
      </c>
      <c r="G54" s="9">
        <f t="shared" si="13"/>
        <v>5.8243285519793311</v>
      </c>
      <c r="H54" s="5"/>
    </row>
    <row r="55" spans="1:8" ht="17" x14ac:dyDescent="0.2">
      <c r="A55" s="6" t="s">
        <v>13</v>
      </c>
      <c r="B55" s="7">
        <v>24</v>
      </c>
      <c r="C55" s="7">
        <v>28</v>
      </c>
      <c r="D55">
        <f t="shared" si="12"/>
        <v>26</v>
      </c>
      <c r="E55" s="6">
        <v>10</v>
      </c>
      <c r="F55" s="6">
        <f>2128.1-2029.6</f>
        <v>98.5</v>
      </c>
      <c r="G55" s="9">
        <f t="shared" si="13"/>
        <v>5.4215371174732061</v>
      </c>
      <c r="H55" s="5"/>
    </row>
    <row r="56" spans="1:8" x14ac:dyDescent="0.2">
      <c r="A56" s="4" t="s">
        <v>42</v>
      </c>
      <c r="B56">
        <v>63</v>
      </c>
      <c r="C56">
        <v>69</v>
      </c>
      <c r="D56">
        <f t="shared" si="12"/>
        <v>66</v>
      </c>
      <c r="E56" s="4">
        <v>10</v>
      </c>
      <c r="F56" s="4">
        <f>1945.6-1904.2</f>
        <v>41.399999999999864</v>
      </c>
      <c r="G56" s="9">
        <f t="shared" si="13"/>
        <v>6.2025435944209715</v>
      </c>
      <c r="H56" s="5"/>
    </row>
    <row r="57" spans="1:8" x14ac:dyDescent="0.2">
      <c r="A57" s="4" t="s">
        <v>43</v>
      </c>
      <c r="B57">
        <v>13</v>
      </c>
      <c r="C57">
        <v>14</v>
      </c>
      <c r="D57">
        <f t="shared" si="12"/>
        <v>13.5</v>
      </c>
      <c r="E57" s="4">
        <v>100</v>
      </c>
      <c r="F57" s="4">
        <f>1868.9-1813.7</f>
        <v>55.200000000000045</v>
      </c>
      <c r="G57" s="9">
        <f t="shared" si="13"/>
        <v>6.3883946907658071</v>
      </c>
      <c r="H57" s="5"/>
    </row>
    <row r="58" spans="1:8" x14ac:dyDescent="0.2">
      <c r="A58" s="4" t="s">
        <v>44</v>
      </c>
      <c r="B58">
        <v>7</v>
      </c>
      <c r="C58">
        <v>7</v>
      </c>
      <c r="D58">
        <f t="shared" si="12"/>
        <v>7</v>
      </c>
      <c r="E58" s="4">
        <v>100</v>
      </c>
      <c r="F58" s="4">
        <f>1886-1823</f>
        <v>63</v>
      </c>
      <c r="G58" s="9">
        <f t="shared" si="13"/>
        <v>6.0457574905606748</v>
      </c>
      <c r="H58" s="5"/>
    </row>
    <row r="59" spans="1:8" x14ac:dyDescent="0.2">
      <c r="A59" s="4" t="s">
        <v>45</v>
      </c>
      <c r="B59">
        <v>18</v>
      </c>
      <c r="C59">
        <v>13</v>
      </c>
      <c r="D59">
        <f t="shared" si="12"/>
        <v>15.5</v>
      </c>
      <c r="E59" s="4">
        <v>100</v>
      </c>
      <c r="F59" s="4">
        <f>1893.7-1819.7</f>
        <v>74</v>
      </c>
      <c r="G59" s="9">
        <f t="shared" si="13"/>
        <v>6.3210999784393156</v>
      </c>
      <c r="H59" s="5"/>
    </row>
    <row r="60" spans="1:8" x14ac:dyDescent="0.2">
      <c r="A60" s="12" t="s">
        <v>46</v>
      </c>
      <c r="B60" s="13">
        <v>51</v>
      </c>
      <c r="C60" s="13">
        <v>56</v>
      </c>
      <c r="D60">
        <f t="shared" si="12"/>
        <v>53.5</v>
      </c>
      <c r="E60" s="12">
        <v>10</v>
      </c>
      <c r="F60" s="12">
        <f>1776.5-1743.2</f>
        <v>33.299999999999955</v>
      </c>
      <c r="G60" s="9">
        <f t="shared" si="13"/>
        <v>6.2059095485149092</v>
      </c>
      <c r="H60" s="5"/>
    </row>
    <row r="61" spans="1:8" x14ac:dyDescent="0.2">
      <c r="A61" s="12" t="s">
        <v>47</v>
      </c>
      <c r="B61" s="13">
        <v>53</v>
      </c>
      <c r="C61" s="13">
        <v>55</v>
      </c>
      <c r="D61">
        <f t="shared" si="12"/>
        <v>54</v>
      </c>
      <c r="E61" s="12">
        <v>100</v>
      </c>
      <c r="F61" s="12">
        <f>1863.6-1741.4</f>
        <v>122.19999999999982</v>
      </c>
      <c r="G61" s="9">
        <f t="shared" si="13"/>
        <v>6.6453225539164338</v>
      </c>
      <c r="H61" s="5"/>
    </row>
    <row r="62" spans="1:8" x14ac:dyDescent="0.2">
      <c r="A62" s="12" t="s">
        <v>48</v>
      </c>
      <c r="B62" s="13">
        <v>11</v>
      </c>
      <c r="C62" s="13">
        <v>13</v>
      </c>
      <c r="D62">
        <f t="shared" si="12"/>
        <v>12</v>
      </c>
      <c r="E62" s="12">
        <v>100</v>
      </c>
      <c r="F62" s="12">
        <f>1851.8-1744</f>
        <v>107.79999999999995</v>
      </c>
      <c r="G62" s="9">
        <f t="shared" si="13"/>
        <v>6.0465624851969055</v>
      </c>
      <c r="H62" s="5"/>
    </row>
    <row r="63" spans="1:8" x14ac:dyDescent="0.2">
      <c r="A63" s="12"/>
      <c r="B63" s="13"/>
      <c r="C63" s="13"/>
      <c r="E63" s="12"/>
      <c r="F63" s="12"/>
      <c r="G63" s="9"/>
      <c r="H63" s="5"/>
    </row>
    <row r="64" spans="1:8" ht="51" x14ac:dyDescent="0.2">
      <c r="A64" s="11" t="s">
        <v>51</v>
      </c>
      <c r="B64" s="46" t="s">
        <v>0</v>
      </c>
      <c r="C64" s="46"/>
      <c r="D64" s="6" t="s">
        <v>1</v>
      </c>
      <c r="E64" s="6" t="s">
        <v>4</v>
      </c>
      <c r="F64" s="6" t="s">
        <v>2</v>
      </c>
      <c r="G64" s="8" t="s">
        <v>3</v>
      </c>
      <c r="H64" s="5"/>
    </row>
    <row r="65" spans="1:8" x14ac:dyDescent="0.2">
      <c r="A65" s="4" t="s">
        <v>11</v>
      </c>
      <c r="B65">
        <v>47</v>
      </c>
      <c r="C65">
        <v>50</v>
      </c>
      <c r="D65">
        <f>AVERAGE(B65:C65)</f>
        <v>48.5</v>
      </c>
      <c r="E65" s="4">
        <v>1000</v>
      </c>
      <c r="F65" s="4">
        <f>1825.6-1791.1</f>
        <v>34.5</v>
      </c>
      <c r="G65" s="9">
        <f>LOG10(D65*100*E65/F65*1000)</f>
        <v>8.1479226435289895</v>
      </c>
      <c r="H65" s="3"/>
    </row>
    <row r="66" spans="1:8" x14ac:dyDescent="0.2">
      <c r="A66" s="4" t="s">
        <v>12</v>
      </c>
      <c r="B66">
        <v>14</v>
      </c>
      <c r="C66">
        <v>9</v>
      </c>
      <c r="D66">
        <f t="shared" ref="D66:D76" si="14">AVERAGE(B66:C66)</f>
        <v>11.5</v>
      </c>
      <c r="E66" s="4">
        <v>10000</v>
      </c>
      <c r="F66" s="4">
        <f>1837.5-1802</f>
        <v>35.5</v>
      </c>
      <c r="G66" s="9">
        <f>LOG10(D66*100*E66/F66*1000)</f>
        <v>8.5104694872985185</v>
      </c>
      <c r="H66" s="3"/>
    </row>
    <row r="67" spans="1:8" x14ac:dyDescent="0.2">
      <c r="A67" s="4" t="s">
        <v>9</v>
      </c>
      <c r="B67">
        <v>41</v>
      </c>
      <c r="C67">
        <v>46</v>
      </c>
      <c r="D67">
        <f t="shared" si="14"/>
        <v>43.5</v>
      </c>
      <c r="E67" s="4">
        <v>1000</v>
      </c>
      <c r="F67" s="4">
        <f>1948.4-1898.8</f>
        <v>49.600000000000136</v>
      </c>
      <c r="G67" s="9">
        <f t="shared" ref="G67:G76" si="15">LOG10(D67*100*E67/F67*1000)</f>
        <v>7.9430075804644389</v>
      </c>
      <c r="H67" s="3"/>
    </row>
    <row r="68" spans="1:8" x14ac:dyDescent="0.2">
      <c r="A68" s="4" t="s">
        <v>14</v>
      </c>
      <c r="B68">
        <v>30</v>
      </c>
      <c r="C68">
        <v>37</v>
      </c>
      <c r="D68">
        <f t="shared" si="14"/>
        <v>33.5</v>
      </c>
      <c r="E68" s="4">
        <v>100</v>
      </c>
      <c r="F68" s="4">
        <f>1932.7-1906</f>
        <v>26.700000000000045</v>
      </c>
      <c r="G68" s="9">
        <f t="shared" si="15"/>
        <v>7.0985335456722689</v>
      </c>
    </row>
    <row r="69" spans="1:8" ht="17" x14ac:dyDescent="0.2">
      <c r="A69" s="6" t="s">
        <v>13</v>
      </c>
      <c r="B69" s="7">
        <v>32</v>
      </c>
      <c r="C69" s="7">
        <v>47</v>
      </c>
      <c r="D69">
        <f t="shared" si="14"/>
        <v>39.5</v>
      </c>
      <c r="E69" s="6">
        <v>100</v>
      </c>
      <c r="F69" s="6">
        <f>2004.7-1889.7</f>
        <v>115</v>
      </c>
      <c r="G69" s="9">
        <f t="shared" si="15"/>
        <v>6.5358992552728488</v>
      </c>
      <c r="H69" s="6"/>
    </row>
    <row r="70" spans="1:8" x14ac:dyDescent="0.2">
      <c r="A70" s="4" t="s">
        <v>42</v>
      </c>
      <c r="B70">
        <v>94</v>
      </c>
      <c r="C70">
        <v>75</v>
      </c>
      <c r="D70">
        <f t="shared" si="14"/>
        <v>84.5</v>
      </c>
      <c r="E70" s="4">
        <v>10</v>
      </c>
      <c r="F70" s="4">
        <f>2063.5-1984.9</f>
        <v>78.599999999999909</v>
      </c>
      <c r="G70" s="9">
        <f t="shared" si="15"/>
        <v>6.0314341629102852</v>
      </c>
      <c r="H70" s="5"/>
    </row>
    <row r="71" spans="1:8" x14ac:dyDescent="0.2">
      <c r="A71" s="4" t="s">
        <v>43</v>
      </c>
      <c r="B71">
        <v>24</v>
      </c>
      <c r="C71">
        <v>18</v>
      </c>
      <c r="D71">
        <f t="shared" si="14"/>
        <v>21</v>
      </c>
      <c r="E71" s="4">
        <v>100</v>
      </c>
      <c r="F71" s="4">
        <f>1921.4-1837.6</f>
        <v>83.800000000000182</v>
      </c>
      <c r="G71" s="9">
        <f t="shared" si="15"/>
        <v>6.3989752761036423</v>
      </c>
      <c r="H71" s="5"/>
    </row>
    <row r="72" spans="1:8" x14ac:dyDescent="0.2">
      <c r="A72" s="4" t="s">
        <v>44</v>
      </c>
      <c r="B72">
        <v>16</v>
      </c>
      <c r="C72">
        <v>14</v>
      </c>
      <c r="D72">
        <f t="shared" si="14"/>
        <v>15</v>
      </c>
      <c r="E72" s="4">
        <v>100</v>
      </c>
      <c r="F72" s="4">
        <f>1876-1810.2</f>
        <v>65.799999999999955</v>
      </c>
      <c r="G72" s="9">
        <f t="shared" si="15"/>
        <v>6.3578653654417261</v>
      </c>
      <c r="H72" s="5"/>
    </row>
    <row r="73" spans="1:8" x14ac:dyDescent="0.2">
      <c r="A73" s="4" t="s">
        <v>45</v>
      </c>
      <c r="B73">
        <v>16</v>
      </c>
      <c r="C73">
        <v>21</v>
      </c>
      <c r="D73">
        <f t="shared" si="14"/>
        <v>18.5</v>
      </c>
      <c r="E73" s="4">
        <v>100</v>
      </c>
      <c r="F73" s="4">
        <f>1930.2-1896.3</f>
        <v>33.900000000000091</v>
      </c>
      <c r="G73" s="9">
        <f t="shared" si="15"/>
        <v>6.7369720301999303</v>
      </c>
      <c r="H73" s="5"/>
    </row>
    <row r="74" spans="1:8" x14ac:dyDescent="0.2">
      <c r="A74" s="12" t="s">
        <v>46</v>
      </c>
      <c r="B74" s="13">
        <v>43</v>
      </c>
      <c r="C74" s="13">
        <v>34</v>
      </c>
      <c r="D74">
        <f t="shared" si="14"/>
        <v>38.5</v>
      </c>
      <c r="E74" s="12">
        <v>100</v>
      </c>
      <c r="F74" s="12">
        <f>1818.1-1736</f>
        <v>82.099999999999909</v>
      </c>
      <c r="G74" s="9">
        <f t="shared" si="15"/>
        <v>6.6711175723890603</v>
      </c>
      <c r="H74" s="5"/>
    </row>
    <row r="75" spans="1:8" x14ac:dyDescent="0.2">
      <c r="A75" s="12" t="s">
        <v>47</v>
      </c>
      <c r="B75" s="13">
        <v>44</v>
      </c>
      <c r="C75" s="13">
        <v>38</v>
      </c>
      <c r="D75">
        <f t="shared" si="14"/>
        <v>41</v>
      </c>
      <c r="E75" s="12">
        <v>100</v>
      </c>
      <c r="F75" s="12">
        <f>1808.7-1719.8</f>
        <v>88.900000000000091</v>
      </c>
      <c r="G75" s="9">
        <f t="shared" si="15"/>
        <v>6.6638820957495213</v>
      </c>
      <c r="H75" s="5"/>
    </row>
    <row r="76" spans="1:8" x14ac:dyDescent="0.2">
      <c r="A76" s="12" t="s">
        <v>48</v>
      </c>
      <c r="B76" s="13">
        <v>20</v>
      </c>
      <c r="C76" s="13">
        <v>16</v>
      </c>
      <c r="D76">
        <f t="shared" si="14"/>
        <v>18</v>
      </c>
      <c r="E76" s="12">
        <v>100</v>
      </c>
      <c r="F76" s="12">
        <f>1909-1735.6</f>
        <v>173.40000000000009</v>
      </c>
      <c r="G76" s="9">
        <f t="shared" si="15"/>
        <v>6.0162234119631144</v>
      </c>
      <c r="H76" s="5"/>
    </row>
    <row r="77" spans="1:8" x14ac:dyDescent="0.2">
      <c r="A77" s="4"/>
      <c r="E77" s="4"/>
      <c r="F77" s="10"/>
      <c r="G77" s="9"/>
      <c r="H77" s="5"/>
    </row>
    <row r="78" spans="1:8" ht="51" x14ac:dyDescent="0.2">
      <c r="A78" s="11" t="s">
        <v>52</v>
      </c>
      <c r="B78" s="46" t="s">
        <v>0</v>
      </c>
      <c r="C78" s="46"/>
      <c r="D78" s="6" t="s">
        <v>1</v>
      </c>
      <c r="E78" s="6" t="s">
        <v>4</v>
      </c>
      <c r="F78" s="6" t="s">
        <v>2</v>
      </c>
      <c r="G78" s="8" t="s">
        <v>3</v>
      </c>
      <c r="H78" s="5"/>
    </row>
    <row r="79" spans="1:8" x14ac:dyDescent="0.2">
      <c r="A79" s="4" t="s">
        <v>11</v>
      </c>
      <c r="B79">
        <v>68</v>
      </c>
      <c r="C79">
        <v>70</v>
      </c>
      <c r="D79">
        <f>AVERAGE(B79:C79)</f>
        <v>69</v>
      </c>
      <c r="E79" s="4">
        <v>1000</v>
      </c>
      <c r="F79" s="4">
        <f>1674.5-1657.8</f>
        <v>16.700000000000045</v>
      </c>
      <c r="G79" s="9">
        <f>LOG10(D79*100*E79/F79*1000)</f>
        <v>8.6161326195896706</v>
      </c>
      <c r="H79" s="5"/>
    </row>
    <row r="80" spans="1:8" x14ac:dyDescent="0.2">
      <c r="A80" s="4" t="s">
        <v>12</v>
      </c>
      <c r="B80">
        <v>13</v>
      </c>
      <c r="C80">
        <v>18</v>
      </c>
      <c r="D80">
        <f t="shared" ref="D80:D90" si="16">AVERAGE(B80:C80)</f>
        <v>15.5</v>
      </c>
      <c r="E80" s="4">
        <v>10000</v>
      </c>
      <c r="F80" s="4">
        <f>1730-1719</f>
        <v>11</v>
      </c>
      <c r="G80" s="9">
        <f>LOG10(D80*100*E80/F80*1000)</f>
        <v>9.1489390130120665</v>
      </c>
      <c r="H80" s="5"/>
    </row>
    <row r="81" spans="1:8" x14ac:dyDescent="0.2">
      <c r="A81" s="4" t="s">
        <v>9</v>
      </c>
      <c r="B81">
        <v>89</v>
      </c>
      <c r="C81">
        <v>67</v>
      </c>
      <c r="D81">
        <f t="shared" si="16"/>
        <v>78</v>
      </c>
      <c r="E81" s="4">
        <v>1000</v>
      </c>
      <c r="F81" s="4">
        <f>1942.8-1913.7</f>
        <v>29.099999999999909</v>
      </c>
      <c r="G81" s="9">
        <f t="shared" ref="G81:G90" si="17">LOG10(D81*100*E81/F81*1000)</f>
        <v>8.4282016137045748</v>
      </c>
      <c r="H81" s="5"/>
    </row>
    <row r="82" spans="1:8" x14ac:dyDescent="0.2">
      <c r="A82" s="4" t="s">
        <v>14</v>
      </c>
      <c r="B82">
        <v>20</v>
      </c>
      <c r="C82">
        <v>16</v>
      </c>
      <c r="D82">
        <f t="shared" si="16"/>
        <v>18</v>
      </c>
      <c r="E82" s="4">
        <v>1000</v>
      </c>
      <c r="F82" s="4">
        <f>1876.5-1827.2</f>
        <v>49.299999999999955</v>
      </c>
      <c r="G82" s="9">
        <f t="shared" si="17"/>
        <v>7.5624255858260767</v>
      </c>
      <c r="H82" s="5"/>
    </row>
    <row r="83" spans="1:8" ht="17" x14ac:dyDescent="0.2">
      <c r="A83" s="6" t="s">
        <v>13</v>
      </c>
      <c r="B83" s="7">
        <v>68</v>
      </c>
      <c r="C83" s="7">
        <v>74</v>
      </c>
      <c r="D83">
        <f t="shared" si="16"/>
        <v>71</v>
      </c>
      <c r="E83" s="6">
        <v>100</v>
      </c>
      <c r="F83" s="6">
        <f>1920.5-1826.3</f>
        <v>94.200000000000045</v>
      </c>
      <c r="G83" s="9">
        <f t="shared" si="17"/>
        <v>6.8772074459261976</v>
      </c>
      <c r="H83" s="5"/>
    </row>
    <row r="84" spans="1:8" x14ac:dyDescent="0.2">
      <c r="A84" s="4" t="s">
        <v>42</v>
      </c>
      <c r="B84">
        <v>15</v>
      </c>
      <c r="C84">
        <v>18</v>
      </c>
      <c r="D84">
        <f t="shared" si="16"/>
        <v>16.5</v>
      </c>
      <c r="E84" s="4">
        <v>10</v>
      </c>
      <c r="F84" s="4">
        <f>1974.5-1892.6</f>
        <v>81.900000000000091</v>
      </c>
      <c r="G84" s="9">
        <f t="shared" si="17"/>
        <v>5.3042000424534876</v>
      </c>
      <c r="H84" s="5"/>
    </row>
    <row r="85" spans="1:8" x14ac:dyDescent="0.2">
      <c r="A85" s="4" t="s">
        <v>43</v>
      </c>
      <c r="B85">
        <v>24</v>
      </c>
      <c r="C85">
        <v>20</v>
      </c>
      <c r="D85">
        <f t="shared" si="16"/>
        <v>22</v>
      </c>
      <c r="E85" s="4">
        <v>10</v>
      </c>
      <c r="F85" s="4">
        <f>1913.8-1823.9</f>
        <v>89.899999999999864</v>
      </c>
      <c r="G85" s="9">
        <f t="shared" si="17"/>
        <v>5.3886629890889779</v>
      </c>
      <c r="H85" s="5"/>
    </row>
    <row r="86" spans="1:8" x14ac:dyDescent="0.2">
      <c r="A86" s="4" t="s">
        <v>44</v>
      </c>
      <c r="B86">
        <v>7</v>
      </c>
      <c r="C86">
        <v>6</v>
      </c>
      <c r="D86">
        <f t="shared" si="16"/>
        <v>6.5</v>
      </c>
      <c r="E86" s="4">
        <v>1</v>
      </c>
      <c r="F86" s="4">
        <f>1884.8-1793.1</f>
        <v>91.700000000000045</v>
      </c>
      <c r="G86" s="9">
        <f t="shared" si="17"/>
        <v>3.8505440209728343</v>
      </c>
      <c r="H86" s="5"/>
    </row>
    <row r="87" spans="1:8" x14ac:dyDescent="0.2">
      <c r="A87" s="4" t="s">
        <v>45</v>
      </c>
      <c r="B87">
        <v>1</v>
      </c>
      <c r="C87">
        <v>1</v>
      </c>
      <c r="D87">
        <f t="shared" si="16"/>
        <v>1</v>
      </c>
      <c r="E87" s="4">
        <v>1</v>
      </c>
      <c r="F87" s="4">
        <f>1881.8-1842.8</f>
        <v>39</v>
      </c>
      <c r="G87" s="9">
        <f t="shared" si="17"/>
        <v>3.4089353929735009</v>
      </c>
      <c r="H87" s="5"/>
    </row>
    <row r="88" spans="1:8" x14ac:dyDescent="0.2">
      <c r="A88" s="12" t="s">
        <v>46</v>
      </c>
      <c r="B88" s="13">
        <v>9</v>
      </c>
      <c r="C88" s="13">
        <v>3</v>
      </c>
      <c r="D88">
        <f t="shared" si="16"/>
        <v>6</v>
      </c>
      <c r="E88" s="12">
        <v>1</v>
      </c>
      <c r="F88" s="12">
        <f>2029.4-1882.4</f>
        <v>147</v>
      </c>
      <c r="G88" s="9">
        <f t="shared" si="17"/>
        <v>3.6108339156354674</v>
      </c>
      <c r="H88" s="5"/>
    </row>
    <row r="89" spans="1:8" x14ac:dyDescent="0.2">
      <c r="A89" s="12" t="s">
        <v>47</v>
      </c>
      <c r="B89" s="13">
        <v>4</v>
      </c>
      <c r="C89" s="13">
        <v>2</v>
      </c>
      <c r="D89">
        <f t="shared" si="16"/>
        <v>3</v>
      </c>
      <c r="E89" s="12">
        <v>1</v>
      </c>
      <c r="F89" s="12">
        <f>1846-1726</f>
        <v>120</v>
      </c>
      <c r="G89" s="9">
        <f t="shared" si="17"/>
        <v>3.3979400086720375</v>
      </c>
      <c r="H89" s="5"/>
    </row>
    <row r="90" spans="1:8" x14ac:dyDescent="0.2">
      <c r="A90" s="12" t="s">
        <v>48</v>
      </c>
      <c r="B90" s="13">
        <v>11</v>
      </c>
      <c r="C90" s="13">
        <v>12</v>
      </c>
      <c r="D90">
        <f t="shared" si="16"/>
        <v>11.5</v>
      </c>
      <c r="E90" s="12">
        <v>1</v>
      </c>
      <c r="F90" s="12">
        <f>1892.7-1827.2</f>
        <v>65.5</v>
      </c>
      <c r="G90" s="9">
        <f t="shared" si="17"/>
        <v>4.2444565403618286</v>
      </c>
      <c r="H90" s="5"/>
    </row>
    <row r="91" spans="1:8" x14ac:dyDescent="0.2">
      <c r="A91" s="4"/>
      <c r="B91" s="14"/>
      <c r="C91" s="14"/>
      <c r="E91" s="4"/>
      <c r="F91" s="4"/>
      <c r="G91" s="9"/>
      <c r="H91" s="5"/>
    </row>
    <row r="92" spans="1:8" ht="51" x14ac:dyDescent="0.2">
      <c r="A92" s="11" t="s">
        <v>53</v>
      </c>
      <c r="B92" s="46" t="s">
        <v>0</v>
      </c>
      <c r="C92" s="46"/>
      <c r="D92" s="6" t="s">
        <v>1</v>
      </c>
      <c r="E92" s="6" t="s">
        <v>4</v>
      </c>
      <c r="F92" s="6" t="s">
        <v>2</v>
      </c>
      <c r="G92" s="8" t="s">
        <v>3</v>
      </c>
      <c r="H92" s="5"/>
    </row>
    <row r="93" spans="1:8" x14ac:dyDescent="0.2">
      <c r="A93" s="4" t="s">
        <v>11</v>
      </c>
      <c r="B93">
        <v>8</v>
      </c>
      <c r="C93">
        <v>12</v>
      </c>
      <c r="D93">
        <f>AVERAGE(B93:C93)</f>
        <v>10</v>
      </c>
      <c r="E93" s="4">
        <v>10000</v>
      </c>
      <c r="F93" s="4">
        <f>1763.1-1728.1</f>
        <v>35</v>
      </c>
      <c r="G93" s="9">
        <f>LOG10(D93*100*E93/F93*1000)</f>
        <v>8.4559319556497243</v>
      </c>
      <c r="H93" s="3"/>
    </row>
    <row r="94" spans="1:8" x14ac:dyDescent="0.2">
      <c r="A94" s="4" t="s">
        <v>12</v>
      </c>
      <c r="B94">
        <v>63</v>
      </c>
      <c r="C94">
        <v>64</v>
      </c>
      <c r="D94">
        <f t="shared" ref="D94:D104" si="18">AVERAGE(B94:C94)</f>
        <v>63.5</v>
      </c>
      <c r="E94" s="4">
        <v>1000</v>
      </c>
      <c r="F94" s="4">
        <f>1887.2-1861.3</f>
        <v>25.900000000000091</v>
      </c>
      <c r="G94" s="9">
        <f>LOG10(D94*100*E94/F94*1000)</f>
        <v>8.3894739612107223</v>
      </c>
      <c r="H94" s="3"/>
    </row>
    <row r="95" spans="1:8" x14ac:dyDescent="0.2">
      <c r="A95" s="4" t="s">
        <v>9</v>
      </c>
      <c r="B95">
        <v>66</v>
      </c>
      <c r="C95">
        <v>75</v>
      </c>
      <c r="D95">
        <f t="shared" si="18"/>
        <v>70.5</v>
      </c>
      <c r="E95" s="4">
        <v>100</v>
      </c>
      <c r="F95" s="4">
        <f>2040.2-1888.4</f>
        <v>151.79999999999995</v>
      </c>
      <c r="G95" s="9">
        <f t="shared" ref="G95:G104" si="19">LOG10(D95*100*E95/F95*1000)</f>
        <v>6.666917345431937</v>
      </c>
      <c r="H95" s="3"/>
    </row>
    <row r="96" spans="1:8" x14ac:dyDescent="0.2">
      <c r="A96" s="4" t="s">
        <v>14</v>
      </c>
      <c r="B96">
        <v>19</v>
      </c>
      <c r="C96">
        <v>18</v>
      </c>
      <c r="D96">
        <f t="shared" si="18"/>
        <v>18.5</v>
      </c>
      <c r="E96" s="4">
        <v>10</v>
      </c>
      <c r="F96" s="4">
        <f>1901.7-1823.7</f>
        <v>78</v>
      </c>
      <c r="G96" s="9">
        <f t="shared" si="19"/>
        <v>5.3750771257125338</v>
      </c>
      <c r="H96" s="3"/>
    </row>
    <row r="97" spans="1:8" ht="17" x14ac:dyDescent="0.2">
      <c r="A97" s="6" t="s">
        <v>13</v>
      </c>
      <c r="B97" s="7">
        <v>52</v>
      </c>
      <c r="C97" s="7">
        <v>56</v>
      </c>
      <c r="D97">
        <f t="shared" si="18"/>
        <v>54</v>
      </c>
      <c r="E97" s="6">
        <v>100</v>
      </c>
      <c r="F97" s="6">
        <f>2090.9-1907.8</f>
        <v>183.10000000000014</v>
      </c>
      <c r="G97" s="9">
        <f t="shared" si="19"/>
        <v>6.4697054155212719</v>
      </c>
      <c r="H97" s="3"/>
    </row>
    <row r="98" spans="1:8" x14ac:dyDescent="0.2">
      <c r="A98" s="4" t="s">
        <v>42</v>
      </c>
      <c r="B98">
        <v>41</v>
      </c>
      <c r="C98">
        <v>21</v>
      </c>
      <c r="D98">
        <f t="shared" si="18"/>
        <v>31</v>
      </c>
      <c r="E98" s="4">
        <v>100</v>
      </c>
      <c r="F98" s="4">
        <f>2058.7-1951.1</f>
        <v>107.59999999999991</v>
      </c>
      <c r="G98" s="9">
        <f t="shared" si="19"/>
        <v>6.459549422503903</v>
      </c>
      <c r="H98" s="3"/>
    </row>
    <row r="99" spans="1:8" x14ac:dyDescent="0.2">
      <c r="A99" s="4" t="s">
        <v>43</v>
      </c>
      <c r="B99">
        <v>35</v>
      </c>
      <c r="C99">
        <v>41</v>
      </c>
      <c r="D99">
        <f t="shared" si="18"/>
        <v>38</v>
      </c>
      <c r="E99" s="4">
        <v>100</v>
      </c>
      <c r="F99" s="4">
        <f>1908-1819.7</f>
        <v>88.299999999999955</v>
      </c>
      <c r="G99" s="9">
        <f t="shared" si="19"/>
        <v>6.633822893039242</v>
      </c>
      <c r="H99" s="3"/>
    </row>
    <row r="100" spans="1:8" x14ac:dyDescent="0.2">
      <c r="A100" s="4" t="s">
        <v>44</v>
      </c>
      <c r="B100">
        <v>23</v>
      </c>
      <c r="C100">
        <v>21</v>
      </c>
      <c r="D100">
        <f t="shared" si="18"/>
        <v>22</v>
      </c>
      <c r="E100" s="4">
        <v>100</v>
      </c>
      <c r="F100" s="4">
        <f>1896.2-1822</f>
        <v>74.200000000000045</v>
      </c>
      <c r="G100" s="9">
        <f t="shared" si="19"/>
        <v>6.4720187755431793</v>
      </c>
      <c r="H100" s="3"/>
    </row>
    <row r="101" spans="1:8" x14ac:dyDescent="0.2">
      <c r="A101" s="4" t="s">
        <v>45</v>
      </c>
      <c r="B101">
        <v>14</v>
      </c>
      <c r="C101">
        <v>17</v>
      </c>
      <c r="D101">
        <f t="shared" si="18"/>
        <v>15.5</v>
      </c>
      <c r="E101" s="4">
        <v>100</v>
      </c>
      <c r="F101" s="4">
        <f>1901.2-1834.6</f>
        <v>66.600000000000136</v>
      </c>
      <c r="G101" s="9">
        <f t="shared" si="19"/>
        <v>6.3668574689999895</v>
      </c>
    </row>
    <row r="102" spans="1:8" x14ac:dyDescent="0.2">
      <c r="A102" s="12" t="s">
        <v>46</v>
      </c>
      <c r="B102" s="13">
        <v>52</v>
      </c>
      <c r="C102" s="13">
        <v>51</v>
      </c>
      <c r="D102">
        <f t="shared" si="18"/>
        <v>51.5</v>
      </c>
      <c r="E102" s="12">
        <v>100</v>
      </c>
      <c r="F102" s="12">
        <f>1934.5-1802.2</f>
        <v>132.29999999999995</v>
      </c>
      <c r="G102" s="9">
        <f t="shared" si="19"/>
        <v>6.59024738485369</v>
      </c>
      <c r="H102" s="6"/>
    </row>
    <row r="103" spans="1:8" x14ac:dyDescent="0.2">
      <c r="A103" s="12" t="s">
        <v>47</v>
      </c>
      <c r="B103" s="13">
        <v>58</v>
      </c>
      <c r="C103" s="13">
        <v>29</v>
      </c>
      <c r="D103">
        <f t="shared" si="18"/>
        <v>43.5</v>
      </c>
      <c r="E103" s="12">
        <v>100</v>
      </c>
      <c r="F103" s="12">
        <f>1882.6-1740.8</f>
        <v>141.79999999999995</v>
      </c>
      <c r="G103" s="9">
        <f t="shared" si="19"/>
        <v>6.4868130261075896</v>
      </c>
      <c r="H103" s="6"/>
    </row>
    <row r="104" spans="1:8" x14ac:dyDescent="0.2">
      <c r="A104" s="12" t="s">
        <v>48</v>
      </c>
      <c r="B104" s="13">
        <v>6</v>
      </c>
      <c r="C104" s="13">
        <v>12</v>
      </c>
      <c r="D104">
        <f t="shared" si="18"/>
        <v>9</v>
      </c>
      <c r="E104" s="12">
        <v>100</v>
      </c>
      <c r="F104" s="12">
        <f>1973.8-1822</f>
        <v>151.79999999999995</v>
      </c>
      <c r="G104" s="9">
        <f t="shared" si="19"/>
        <v>5.7729707378798638</v>
      </c>
      <c r="H104" s="6"/>
    </row>
    <row r="105" spans="1:8" s="16" customFormat="1" x14ac:dyDescent="0.2">
      <c r="A105" s="15"/>
      <c r="E105" s="15"/>
      <c r="F105" s="15"/>
      <c r="G105" s="17"/>
      <c r="H105" s="38"/>
    </row>
    <row r="106" spans="1:8" ht="51" x14ac:dyDescent="0.2">
      <c r="A106" s="11" t="s">
        <v>54</v>
      </c>
      <c r="B106" s="46" t="s">
        <v>0</v>
      </c>
      <c r="C106" s="46"/>
      <c r="D106" s="6" t="s">
        <v>1</v>
      </c>
      <c r="E106" s="6" t="s">
        <v>4</v>
      </c>
      <c r="F106" s="6" t="s">
        <v>2</v>
      </c>
      <c r="G106" s="8" t="s">
        <v>3</v>
      </c>
      <c r="H106" s="5"/>
    </row>
    <row r="107" spans="1:8" x14ac:dyDescent="0.2">
      <c r="A107" s="4" t="s">
        <v>11</v>
      </c>
      <c r="B107">
        <v>29</v>
      </c>
      <c r="C107">
        <v>20</v>
      </c>
      <c r="D107">
        <f>AVERAGE(B107:C107)</f>
        <v>24.5</v>
      </c>
      <c r="E107" s="4">
        <v>10000</v>
      </c>
      <c r="F107" s="4">
        <f>1894.1-1845.6</f>
        <v>48.5</v>
      </c>
      <c r="G107" s="9">
        <f>LOG10(D107*100*E107/F107*1000)</f>
        <v>8.7034243457622686</v>
      </c>
      <c r="H107" s="5"/>
    </row>
    <row r="108" spans="1:8" x14ac:dyDescent="0.2">
      <c r="A108" s="4" t="s">
        <v>12</v>
      </c>
      <c r="B108">
        <v>45</v>
      </c>
      <c r="C108">
        <v>34</v>
      </c>
      <c r="D108">
        <f t="shared" ref="D108:D118" si="20">AVERAGE(B108:C108)</f>
        <v>39.5</v>
      </c>
      <c r="E108" s="4">
        <v>10000</v>
      </c>
      <c r="F108" s="4">
        <f>1818.8-1728.7</f>
        <v>90.099999999999909</v>
      </c>
      <c r="G108" s="9">
        <f>LOG10(D108*100*E108/F108*1000)</f>
        <v>8.6418723046473982</v>
      </c>
      <c r="H108" s="5"/>
    </row>
    <row r="109" spans="1:8" x14ac:dyDescent="0.2">
      <c r="A109" s="4" t="s">
        <v>9</v>
      </c>
      <c r="B109">
        <v>22</v>
      </c>
      <c r="C109">
        <v>18</v>
      </c>
      <c r="D109">
        <f t="shared" si="20"/>
        <v>20</v>
      </c>
      <c r="E109" s="4">
        <v>10000</v>
      </c>
      <c r="F109" s="4">
        <f>1941.1-1828.4</f>
        <v>112.69999999999982</v>
      </c>
      <c r="G109" s="9">
        <f t="shared" ref="G109:G118" si="21">LOG10(D109*100*E109/F109*1000)</f>
        <v>8.2491060796178761</v>
      </c>
      <c r="H109" s="5"/>
    </row>
    <row r="110" spans="1:8" x14ac:dyDescent="0.2">
      <c r="A110" s="4" t="s">
        <v>14</v>
      </c>
      <c r="B110">
        <v>7</v>
      </c>
      <c r="C110">
        <v>7</v>
      </c>
      <c r="D110">
        <f t="shared" si="20"/>
        <v>7</v>
      </c>
      <c r="E110" s="4">
        <v>1000</v>
      </c>
      <c r="F110" s="4">
        <f>1861.7-1816.4</f>
        <v>45.299999999999955</v>
      </c>
      <c r="G110" s="9">
        <f t="shared" si="21"/>
        <v>7.1889998380014255</v>
      </c>
      <c r="H110" s="5"/>
    </row>
    <row r="111" spans="1:8" ht="17" x14ac:dyDescent="0.2">
      <c r="A111" s="6" t="s">
        <v>13</v>
      </c>
      <c r="B111" s="7">
        <v>30</v>
      </c>
      <c r="C111" s="7">
        <v>41</v>
      </c>
      <c r="D111">
        <f t="shared" si="20"/>
        <v>35.5</v>
      </c>
      <c r="E111" s="6">
        <v>100</v>
      </c>
      <c r="F111" s="6">
        <f>1942.1-1881.5</f>
        <v>60.599999999999909</v>
      </c>
      <c r="G111" s="9">
        <f t="shared" si="21"/>
        <v>6.7677557288888082</v>
      </c>
      <c r="H111" s="5"/>
    </row>
    <row r="112" spans="1:8" x14ac:dyDescent="0.2">
      <c r="A112" s="4" t="s">
        <v>42</v>
      </c>
      <c r="B112">
        <v>85</v>
      </c>
      <c r="C112">
        <v>70</v>
      </c>
      <c r="D112">
        <f t="shared" si="20"/>
        <v>77.5</v>
      </c>
      <c r="E112" s="4">
        <v>10</v>
      </c>
      <c r="F112" s="4">
        <f>2063-1960.4</f>
        <v>102.59999999999991</v>
      </c>
      <c r="G112" s="9">
        <f t="shared" si="21"/>
        <v>5.8781543417305135</v>
      </c>
      <c r="H112" s="5"/>
    </row>
    <row r="113" spans="1:8" x14ac:dyDescent="0.2">
      <c r="A113" s="4" t="s">
        <v>43</v>
      </c>
      <c r="B113">
        <v>73</v>
      </c>
      <c r="C113">
        <v>88</v>
      </c>
      <c r="D113">
        <f t="shared" si="20"/>
        <v>80.5</v>
      </c>
      <c r="E113" s="4">
        <v>10</v>
      </c>
      <c r="F113" s="4">
        <f>1933.7-1889.6</f>
        <v>44.100000000000136</v>
      </c>
      <c r="G113" s="9">
        <f t="shared" si="21"/>
        <v>6.2613572909000288</v>
      </c>
      <c r="H113" s="5"/>
    </row>
    <row r="114" spans="1:8" x14ac:dyDescent="0.2">
      <c r="A114" s="4" t="s">
        <v>44</v>
      </c>
      <c r="B114">
        <v>7</v>
      </c>
      <c r="C114">
        <v>6</v>
      </c>
      <c r="D114">
        <f t="shared" si="20"/>
        <v>6.5</v>
      </c>
      <c r="E114" s="4">
        <v>100</v>
      </c>
      <c r="F114" s="4">
        <f>1919.6-1875.1</f>
        <v>44.5</v>
      </c>
      <c r="G114" s="9">
        <f t="shared" si="21"/>
        <v>6.1645533456619237</v>
      </c>
      <c r="H114" s="5"/>
    </row>
    <row r="115" spans="1:8" x14ac:dyDescent="0.2">
      <c r="A115" s="4" t="s">
        <v>45</v>
      </c>
      <c r="B115">
        <v>46</v>
      </c>
      <c r="C115">
        <v>43</v>
      </c>
      <c r="D115">
        <f t="shared" si="20"/>
        <v>44.5</v>
      </c>
      <c r="E115" s="4">
        <v>100</v>
      </c>
      <c r="F115" s="4">
        <f>1960.4-1817.9</f>
        <v>142.5</v>
      </c>
      <c r="G115" s="9">
        <f t="shared" si="21"/>
        <v>6.494545146636403</v>
      </c>
      <c r="H115" s="5"/>
    </row>
    <row r="116" spans="1:8" x14ac:dyDescent="0.2">
      <c r="A116" s="12" t="s">
        <v>46</v>
      </c>
      <c r="B116" s="13">
        <v>18</v>
      </c>
      <c r="C116" s="13">
        <v>28</v>
      </c>
      <c r="D116">
        <f t="shared" si="20"/>
        <v>23</v>
      </c>
      <c r="E116" s="12">
        <v>100</v>
      </c>
      <c r="F116" s="12">
        <f>1808.1-1746.5</f>
        <v>61.599999999999909</v>
      </c>
      <c r="G116" s="9">
        <f t="shared" si="21"/>
        <v>6.5721471238531679</v>
      </c>
      <c r="H116" s="5"/>
    </row>
    <row r="117" spans="1:8" x14ac:dyDescent="0.2">
      <c r="A117" s="12" t="s">
        <v>47</v>
      </c>
      <c r="B117" s="13">
        <v>1</v>
      </c>
      <c r="C117" s="13">
        <v>2</v>
      </c>
      <c r="D117">
        <f t="shared" si="20"/>
        <v>1.5</v>
      </c>
      <c r="E117" s="12">
        <v>100</v>
      </c>
      <c r="F117" s="12">
        <f>1802.7-1760.1</f>
        <v>42.600000000000136</v>
      </c>
      <c r="G117" s="9">
        <f t="shared" si="21"/>
        <v>5.5466816599529611</v>
      </c>
      <c r="H117" s="5"/>
    </row>
    <row r="118" spans="1:8" x14ac:dyDescent="0.2">
      <c r="A118" s="12" t="s">
        <v>48</v>
      </c>
      <c r="B118" s="13">
        <v>15</v>
      </c>
      <c r="C118" s="13">
        <v>20</v>
      </c>
      <c r="D118">
        <f t="shared" si="20"/>
        <v>17.5</v>
      </c>
      <c r="E118" s="12">
        <v>10</v>
      </c>
      <c r="F118" s="12">
        <f>1863.7-1807</f>
        <v>56.700000000000045</v>
      </c>
      <c r="G118" s="9">
        <f t="shared" si="21"/>
        <v>5.4894549897933871</v>
      </c>
      <c r="H118" s="5"/>
    </row>
    <row r="119" spans="1:8" x14ac:dyDescent="0.2">
      <c r="A119" s="4"/>
      <c r="B119" s="13"/>
      <c r="C119" s="13"/>
      <c r="E119" s="4"/>
      <c r="F119" s="4"/>
      <c r="G119" s="9"/>
      <c r="H119" s="5"/>
    </row>
    <row r="120" spans="1:8" ht="51" x14ac:dyDescent="0.2">
      <c r="A120" s="11" t="s">
        <v>55</v>
      </c>
      <c r="B120" s="46" t="s">
        <v>0</v>
      </c>
      <c r="C120" s="46"/>
      <c r="D120" s="6" t="s">
        <v>1</v>
      </c>
      <c r="E120" s="6" t="s">
        <v>4</v>
      </c>
      <c r="F120" s="6" t="s">
        <v>2</v>
      </c>
      <c r="G120" s="8" t="s">
        <v>3</v>
      </c>
      <c r="H120" s="5"/>
    </row>
    <row r="121" spans="1:8" x14ac:dyDescent="0.2">
      <c r="A121" s="4" t="s">
        <v>11</v>
      </c>
      <c r="B121">
        <v>21</v>
      </c>
      <c r="C121">
        <v>28</v>
      </c>
      <c r="D121">
        <f>AVERAGE(B121:C121)</f>
        <v>24.5</v>
      </c>
      <c r="E121" s="4">
        <v>1000</v>
      </c>
      <c r="F121" s="4">
        <f>1653.1-1637.8</f>
        <v>15.299999999999955</v>
      </c>
      <c r="G121" s="9">
        <f>LOG10(D121*100*E121/F121*1000)</f>
        <v>8.2044746535469351</v>
      </c>
      <c r="H121" s="5"/>
    </row>
    <row r="122" spans="1:8" x14ac:dyDescent="0.2">
      <c r="A122" s="4" t="s">
        <v>12</v>
      </c>
      <c r="B122">
        <v>63</v>
      </c>
      <c r="C122">
        <v>53</v>
      </c>
      <c r="D122">
        <f t="shared" ref="D122:D132" si="22">AVERAGE(B122:C122)</f>
        <v>58</v>
      </c>
      <c r="E122" s="4">
        <v>1000</v>
      </c>
      <c r="F122" s="4">
        <f>1740.5-1712.8</f>
        <v>27.700000000000045</v>
      </c>
      <c r="G122" s="9">
        <f>LOG10(D122*100*E122/F122*1000)</f>
        <v>8.3209482244984887</v>
      </c>
      <c r="H122" s="5"/>
    </row>
    <row r="123" spans="1:8" x14ac:dyDescent="0.2">
      <c r="A123" s="4" t="s">
        <v>9</v>
      </c>
      <c r="B123">
        <v>48</v>
      </c>
      <c r="C123">
        <v>48</v>
      </c>
      <c r="D123">
        <f t="shared" si="22"/>
        <v>48</v>
      </c>
      <c r="E123" s="4">
        <v>1000</v>
      </c>
      <c r="F123" s="4">
        <f>1953.1-1842.6</f>
        <v>110.5</v>
      </c>
      <c r="G123" s="9">
        <f t="shared" ref="G123:G132" si="23">LOG10(D123*100*E123/F123*1000)</f>
        <v>7.6378789593544578</v>
      </c>
      <c r="H123" s="5"/>
    </row>
    <row r="124" spans="1:8" x14ac:dyDescent="0.2">
      <c r="A124" s="4" t="s">
        <v>14</v>
      </c>
      <c r="B124">
        <v>18</v>
      </c>
      <c r="C124">
        <v>22</v>
      </c>
      <c r="D124">
        <f t="shared" si="22"/>
        <v>20</v>
      </c>
      <c r="E124" s="4">
        <v>1000</v>
      </c>
      <c r="F124" s="4">
        <f>2048.4-1980.9</f>
        <v>67.5</v>
      </c>
      <c r="G124" s="9">
        <f t="shared" si="23"/>
        <v>7.471726222832956</v>
      </c>
      <c r="H124" s="5"/>
    </row>
    <row r="125" spans="1:8" ht="17" x14ac:dyDescent="0.2">
      <c r="A125" s="6" t="s">
        <v>13</v>
      </c>
      <c r="B125" s="7">
        <v>46</v>
      </c>
      <c r="C125" s="7">
        <v>54</v>
      </c>
      <c r="D125">
        <f t="shared" si="22"/>
        <v>50</v>
      </c>
      <c r="E125" s="6">
        <v>100</v>
      </c>
      <c r="F125" s="6">
        <f>2046.3-1896</f>
        <v>150.29999999999995</v>
      </c>
      <c r="G125" s="9">
        <f t="shared" si="23"/>
        <v>6.5220110237491111</v>
      </c>
      <c r="H125" s="5"/>
    </row>
    <row r="126" spans="1:8" x14ac:dyDescent="0.2">
      <c r="A126" s="4" t="s">
        <v>42</v>
      </c>
      <c r="B126">
        <v>10</v>
      </c>
      <c r="C126">
        <v>12</v>
      </c>
      <c r="D126">
        <f t="shared" si="22"/>
        <v>11</v>
      </c>
      <c r="E126" s="4">
        <v>100</v>
      </c>
      <c r="F126" s="4">
        <f>1900.6-1827.3</f>
        <v>73.299999999999955</v>
      </c>
      <c r="G126" s="9">
        <f t="shared" si="23"/>
        <v>6.1762887105170972</v>
      </c>
      <c r="H126" s="5"/>
    </row>
    <row r="127" spans="1:8" x14ac:dyDescent="0.2">
      <c r="A127" s="4" t="s">
        <v>43</v>
      </c>
      <c r="B127">
        <v>23</v>
      </c>
      <c r="C127">
        <v>23</v>
      </c>
      <c r="D127">
        <f t="shared" si="22"/>
        <v>23</v>
      </c>
      <c r="E127" s="4">
        <v>100</v>
      </c>
      <c r="F127" s="4">
        <f>1933.7-1830.3</f>
        <v>103.40000000000009</v>
      </c>
      <c r="G127" s="9">
        <f t="shared" si="23"/>
        <v>6.3472072972596685</v>
      </c>
      <c r="H127" s="5"/>
    </row>
    <row r="128" spans="1:8" x14ac:dyDescent="0.2">
      <c r="A128" s="4" t="s">
        <v>44</v>
      </c>
      <c r="B128">
        <v>19</v>
      </c>
      <c r="C128">
        <v>14</v>
      </c>
      <c r="D128">
        <f t="shared" si="22"/>
        <v>16.5</v>
      </c>
      <c r="E128" s="4">
        <v>100</v>
      </c>
      <c r="F128" s="4">
        <f>1964.9-1882.5</f>
        <v>82.400000000000091</v>
      </c>
      <c r="G128" s="9">
        <f t="shared" si="23"/>
        <v>6.30155673251679</v>
      </c>
      <c r="H128" s="5"/>
    </row>
    <row r="129" spans="1:8" x14ac:dyDescent="0.2">
      <c r="A129" s="4" t="s">
        <v>45</v>
      </c>
      <c r="B129">
        <v>41</v>
      </c>
      <c r="C129">
        <v>56</v>
      </c>
      <c r="D129">
        <f t="shared" si="22"/>
        <v>48.5</v>
      </c>
      <c r="E129" s="4">
        <v>100</v>
      </c>
      <c r="F129" s="4">
        <f>1868.7-1763.2</f>
        <v>105.5</v>
      </c>
      <c r="G129" s="9">
        <f t="shared" si="23"/>
        <v>6.6624892789685521</v>
      </c>
      <c r="H129" s="5"/>
    </row>
    <row r="130" spans="1:8" x14ac:dyDescent="0.2">
      <c r="A130" s="12" t="s">
        <v>46</v>
      </c>
      <c r="B130" s="13">
        <v>60</v>
      </c>
      <c r="C130" s="13">
        <v>61</v>
      </c>
      <c r="D130">
        <f t="shared" si="22"/>
        <v>60.5</v>
      </c>
      <c r="E130" s="12">
        <v>100</v>
      </c>
      <c r="F130" s="12">
        <f>1964.1-1814.7</f>
        <v>149.39999999999986</v>
      </c>
      <c r="G130" s="9">
        <f t="shared" si="23"/>
        <v>6.6074047771730893</v>
      </c>
      <c r="H130" s="5"/>
    </row>
    <row r="131" spans="1:8" x14ac:dyDescent="0.2">
      <c r="A131" s="12" t="s">
        <v>47</v>
      </c>
      <c r="B131" s="13">
        <v>130</v>
      </c>
      <c r="C131" s="13">
        <v>92</v>
      </c>
      <c r="D131">
        <f t="shared" si="22"/>
        <v>111</v>
      </c>
      <c r="E131" s="12">
        <v>10</v>
      </c>
      <c r="F131" s="12">
        <f>1872-1742.8</f>
        <v>129.20000000000005</v>
      </c>
      <c r="G131" s="9">
        <f t="shared" si="23"/>
        <v>5.9340604651275921</v>
      </c>
      <c r="H131" s="5"/>
    </row>
    <row r="132" spans="1:8" x14ac:dyDescent="0.2">
      <c r="A132" s="12" t="s">
        <v>48</v>
      </c>
      <c r="B132" s="13">
        <v>8</v>
      </c>
      <c r="C132" s="13">
        <v>10</v>
      </c>
      <c r="D132">
        <f t="shared" si="22"/>
        <v>9</v>
      </c>
      <c r="E132" s="12">
        <v>100</v>
      </c>
      <c r="F132" s="12">
        <f>1936.3-1829.2</f>
        <v>107.09999999999991</v>
      </c>
      <c r="G132" s="9">
        <f t="shared" si="23"/>
        <v>5.9244530386074699</v>
      </c>
      <c r="H132" s="5"/>
    </row>
    <row r="133" spans="1:8" x14ac:dyDescent="0.2">
      <c r="A133" s="4"/>
      <c r="E133" s="4"/>
      <c r="F133" s="4"/>
      <c r="G133" s="9"/>
      <c r="H133" s="5"/>
    </row>
    <row r="134" spans="1:8" ht="51" x14ac:dyDescent="0.2">
      <c r="A134" s="11" t="s">
        <v>56</v>
      </c>
      <c r="B134" s="46" t="s">
        <v>0</v>
      </c>
      <c r="C134" s="46"/>
      <c r="D134" s="6" t="s">
        <v>1</v>
      </c>
      <c r="E134" s="6" t="s">
        <v>4</v>
      </c>
      <c r="F134" s="6" t="s">
        <v>2</v>
      </c>
      <c r="G134" s="8" t="s">
        <v>3</v>
      </c>
      <c r="H134" s="5"/>
    </row>
    <row r="135" spans="1:8" x14ac:dyDescent="0.2">
      <c r="A135" s="4" t="s">
        <v>11</v>
      </c>
      <c r="B135">
        <v>33</v>
      </c>
      <c r="C135">
        <v>34</v>
      </c>
      <c r="D135">
        <f>AVERAGE(B135:C135)</f>
        <v>33.5</v>
      </c>
      <c r="E135" s="4">
        <v>1000</v>
      </c>
      <c r="F135" s="4">
        <f>1819.6-1802.6</f>
        <v>17</v>
      </c>
      <c r="G135" s="9">
        <f>LOG10(D135*100*E135/F135*1000)</f>
        <v>8.2945958856585715</v>
      </c>
      <c r="H135" s="3"/>
    </row>
    <row r="136" spans="1:8" x14ac:dyDescent="0.2">
      <c r="A136" s="4" t="s">
        <v>12</v>
      </c>
      <c r="B136">
        <v>22</v>
      </c>
      <c r="C136">
        <v>14</v>
      </c>
      <c r="D136">
        <f t="shared" ref="D136:D146" si="24">AVERAGE(B136:C136)</f>
        <v>18</v>
      </c>
      <c r="E136" s="4">
        <v>10000</v>
      </c>
      <c r="F136" s="4">
        <f>1745.1-1712.2</f>
        <v>32.899999999999864</v>
      </c>
      <c r="G136" s="9">
        <f>LOG10(D136*100*E136/F136*1000)</f>
        <v>8.7380766071533333</v>
      </c>
      <c r="H136" s="3"/>
    </row>
    <row r="137" spans="1:8" x14ac:dyDescent="0.2">
      <c r="A137" s="4" t="s">
        <v>9</v>
      </c>
      <c r="B137">
        <v>12</v>
      </c>
      <c r="C137">
        <v>17</v>
      </c>
      <c r="D137">
        <f t="shared" si="24"/>
        <v>14.5</v>
      </c>
      <c r="E137" s="4">
        <v>10000</v>
      </c>
      <c r="F137" s="4">
        <f>1853.6-1824.3</f>
        <v>29.299999999999955</v>
      </c>
      <c r="G137" s="9">
        <f t="shared" ref="G137:G146" si="25">LOG10(D137*100*E137/F137*1000)</f>
        <v>8.6945003818808662</v>
      </c>
      <c r="H137" s="3"/>
    </row>
    <row r="138" spans="1:8" x14ac:dyDescent="0.2">
      <c r="A138" s="4" t="s">
        <v>14</v>
      </c>
      <c r="B138">
        <v>13</v>
      </c>
      <c r="C138">
        <v>13</v>
      </c>
      <c r="D138">
        <f t="shared" si="24"/>
        <v>13</v>
      </c>
      <c r="E138" s="4">
        <v>10000</v>
      </c>
      <c r="F138" s="4">
        <f>2085.7-2046.6</f>
        <v>39.099999999999909</v>
      </c>
      <c r="G138" s="9">
        <f t="shared" si="25"/>
        <v>8.5217665949109715</v>
      </c>
    </row>
    <row r="139" spans="1:8" ht="17" x14ac:dyDescent="0.2">
      <c r="A139" s="6" t="s">
        <v>13</v>
      </c>
      <c r="B139" s="7">
        <v>13</v>
      </c>
      <c r="C139" s="7">
        <v>8</v>
      </c>
      <c r="D139">
        <f t="shared" si="24"/>
        <v>10.5</v>
      </c>
      <c r="E139" s="6">
        <v>100</v>
      </c>
      <c r="F139" s="6">
        <f>1993-1966.5</f>
        <v>26.5</v>
      </c>
      <c r="G139" s="9">
        <f t="shared" si="25"/>
        <v>6.5979434251331304</v>
      </c>
      <c r="H139" s="6"/>
    </row>
    <row r="140" spans="1:8" x14ac:dyDescent="0.2">
      <c r="A140" s="4" t="s">
        <v>42</v>
      </c>
      <c r="B140">
        <v>10</v>
      </c>
      <c r="C140">
        <v>9</v>
      </c>
      <c r="D140">
        <f t="shared" si="24"/>
        <v>9.5</v>
      </c>
      <c r="E140" s="4">
        <v>100</v>
      </c>
      <c r="F140" s="4">
        <f>1843.6-1810.3</f>
        <v>33.299999999999955</v>
      </c>
      <c r="G140" s="9">
        <f t="shared" si="25"/>
        <v>6.4552793717825283</v>
      </c>
      <c r="H140" s="3"/>
    </row>
    <row r="141" spans="1:8" x14ac:dyDescent="0.2">
      <c r="A141" s="4" t="s">
        <v>43</v>
      </c>
      <c r="B141">
        <v>15</v>
      </c>
      <c r="C141">
        <v>20</v>
      </c>
      <c r="D141">
        <f t="shared" si="24"/>
        <v>17.5</v>
      </c>
      <c r="E141" s="4">
        <v>100</v>
      </c>
      <c r="F141" s="4">
        <f>1898.6-1827</f>
        <v>71.599999999999909</v>
      </c>
      <c r="G141" s="9">
        <f t="shared" si="25"/>
        <v>6.3881250263784395</v>
      </c>
      <c r="H141" s="3"/>
    </row>
    <row r="142" spans="1:8" x14ac:dyDescent="0.2">
      <c r="A142" s="4" t="s">
        <v>44</v>
      </c>
      <c r="B142">
        <v>14</v>
      </c>
      <c r="C142">
        <v>9</v>
      </c>
      <c r="D142">
        <f t="shared" si="24"/>
        <v>11.5</v>
      </c>
      <c r="E142" s="4">
        <v>100</v>
      </c>
      <c r="F142" s="4">
        <f>1929.6-1890.3</f>
        <v>39.299999999999955</v>
      </c>
      <c r="G142" s="9">
        <f t="shared" si="25"/>
        <v>6.4663052899781857</v>
      </c>
      <c r="H142" s="3"/>
    </row>
    <row r="143" spans="1:8" x14ac:dyDescent="0.2">
      <c r="A143" s="4" t="s">
        <v>45</v>
      </c>
      <c r="B143">
        <v>38</v>
      </c>
      <c r="C143">
        <v>40</v>
      </c>
      <c r="D143">
        <f>AVERAGE(B143:C143)</f>
        <v>39</v>
      </c>
      <c r="E143" s="4">
        <v>100</v>
      </c>
      <c r="F143" s="4">
        <f>1926.7-1817.7</f>
        <v>109</v>
      </c>
      <c r="G143" s="9">
        <f t="shared" si="25"/>
        <v>6.5536381090858757</v>
      </c>
      <c r="H143" s="3"/>
    </row>
    <row r="144" spans="1:8" x14ac:dyDescent="0.2">
      <c r="A144" s="12" t="s">
        <v>46</v>
      </c>
      <c r="B144" s="13">
        <v>16</v>
      </c>
      <c r="C144" s="13">
        <v>8</v>
      </c>
      <c r="D144">
        <f t="shared" si="24"/>
        <v>12</v>
      </c>
      <c r="E144" s="12">
        <v>100</v>
      </c>
      <c r="F144" s="12">
        <f>1904.1-1814.8</f>
        <v>89.299999999999955</v>
      </c>
      <c r="G144" s="9">
        <f t="shared" si="25"/>
        <v>6.1283297871590783</v>
      </c>
      <c r="H144" s="3"/>
    </row>
    <row r="145" spans="1:8" x14ac:dyDescent="0.2">
      <c r="A145" s="12" t="s">
        <v>47</v>
      </c>
      <c r="B145" s="13">
        <v>87</v>
      </c>
      <c r="C145" s="13"/>
      <c r="D145">
        <f t="shared" si="24"/>
        <v>87</v>
      </c>
      <c r="E145" s="12">
        <v>10</v>
      </c>
      <c r="F145" s="12">
        <f>1907.9-1821.9</f>
        <v>86</v>
      </c>
      <c r="G145" s="9">
        <f t="shared" si="25"/>
        <v>6.0050208013750508</v>
      </c>
      <c r="H145" s="3"/>
    </row>
    <row r="146" spans="1:8" x14ac:dyDescent="0.2">
      <c r="A146" s="12" t="s">
        <v>48</v>
      </c>
      <c r="B146" s="13">
        <v>15</v>
      </c>
      <c r="C146" s="13">
        <v>15</v>
      </c>
      <c r="D146">
        <f t="shared" si="24"/>
        <v>15</v>
      </c>
      <c r="E146" s="12">
        <v>10</v>
      </c>
      <c r="F146" s="12">
        <f>1857.1-1825.8</f>
        <v>31.299999999999955</v>
      </c>
      <c r="G146" s="9">
        <f t="shared" si="25"/>
        <v>5.680546921509233</v>
      </c>
      <c r="H146" s="3"/>
    </row>
    <row r="147" spans="1:8" x14ac:dyDescent="0.2">
      <c r="A147" s="11"/>
      <c r="B147" s="46"/>
      <c r="C147" s="46"/>
      <c r="D147" s="6"/>
      <c r="E147" s="6"/>
      <c r="F147" s="6"/>
      <c r="G147" s="8"/>
      <c r="H147" s="3"/>
    </row>
    <row r="148" spans="1:8" ht="51" x14ac:dyDescent="0.2">
      <c r="A148" s="11" t="s">
        <v>57</v>
      </c>
      <c r="B148" s="46" t="s">
        <v>0</v>
      </c>
      <c r="C148" s="46"/>
      <c r="D148" s="6" t="s">
        <v>1</v>
      </c>
      <c r="E148" s="6" t="s">
        <v>4</v>
      </c>
      <c r="F148" s="6" t="s">
        <v>2</v>
      </c>
      <c r="G148" s="8" t="s">
        <v>3</v>
      </c>
      <c r="H148" s="3"/>
    </row>
    <row r="149" spans="1:8" x14ac:dyDescent="0.2">
      <c r="A149" s="4" t="s">
        <v>11</v>
      </c>
      <c r="B149">
        <v>48</v>
      </c>
      <c r="C149">
        <v>43</v>
      </c>
      <c r="D149">
        <f>AVERAGE(B149:C149)</f>
        <v>45.5</v>
      </c>
      <c r="E149" s="4">
        <v>1000</v>
      </c>
      <c r="F149" s="4">
        <f>1767.7-1731.2</f>
        <v>36.5</v>
      </c>
      <c r="G149" s="9">
        <f>LOG10(D149*100*E149/F149*1000)</f>
        <v>8.0957185322006371</v>
      </c>
      <c r="H149" s="3"/>
    </row>
    <row r="150" spans="1:8" x14ac:dyDescent="0.2">
      <c r="A150" s="4" t="s">
        <v>12</v>
      </c>
      <c r="B150">
        <v>17</v>
      </c>
      <c r="C150">
        <v>25</v>
      </c>
      <c r="D150">
        <f t="shared" ref="D150:D160" si="26">AVERAGE(B150:C150)</f>
        <v>21</v>
      </c>
      <c r="E150" s="4">
        <v>10000</v>
      </c>
      <c r="F150" s="4">
        <f>1769.9-1724.7</f>
        <v>45.200000000000045</v>
      </c>
      <c r="G150" s="9">
        <f>LOG10(D150*100*E150/F150*1000)</f>
        <v>8.6670808599225371</v>
      </c>
      <c r="H150" s="3"/>
    </row>
    <row r="151" spans="1:8" x14ac:dyDescent="0.2">
      <c r="A151" s="4" t="s">
        <v>9</v>
      </c>
      <c r="B151">
        <v>38</v>
      </c>
      <c r="C151">
        <v>43</v>
      </c>
      <c r="D151">
        <f t="shared" si="26"/>
        <v>40.5</v>
      </c>
      <c r="E151" s="4">
        <v>10000</v>
      </c>
      <c r="F151" s="4">
        <f>1986.5-1898.7</f>
        <v>87.799999999999955</v>
      </c>
      <c r="G151" s="9">
        <f t="shared" ref="G151:G160" si="27">LOG10(D151*100*E151/F151*1000)</f>
        <v>8.6639605073085662</v>
      </c>
      <c r="H151" s="3"/>
    </row>
    <row r="152" spans="1:8" x14ac:dyDescent="0.2">
      <c r="A152" s="4" t="s">
        <v>14</v>
      </c>
      <c r="B152">
        <v>12</v>
      </c>
      <c r="C152">
        <v>22</v>
      </c>
      <c r="D152">
        <f t="shared" si="26"/>
        <v>17</v>
      </c>
      <c r="E152" s="4">
        <v>10000</v>
      </c>
      <c r="F152" s="4">
        <f>1880.8-1831.6</f>
        <v>49.200000000000045</v>
      </c>
      <c r="G152" s="9">
        <f t="shared" si="27"/>
        <v>8.5384838186109135</v>
      </c>
      <c r="H152" s="3"/>
    </row>
    <row r="153" spans="1:8" ht="17" x14ac:dyDescent="0.2">
      <c r="A153" s="6" t="s">
        <v>13</v>
      </c>
      <c r="B153" s="7">
        <v>10</v>
      </c>
      <c r="C153" s="7">
        <v>11</v>
      </c>
      <c r="D153">
        <f t="shared" si="26"/>
        <v>10.5</v>
      </c>
      <c r="E153" s="6">
        <v>1000</v>
      </c>
      <c r="F153" s="6">
        <f>1970.1-1906.1</f>
        <v>64</v>
      </c>
      <c r="G153" s="9">
        <f t="shared" si="27"/>
        <v>7.2150093250860508</v>
      </c>
      <c r="H153" s="3"/>
    </row>
    <row r="154" spans="1:8" x14ac:dyDescent="0.2">
      <c r="A154" s="4" t="s">
        <v>42</v>
      </c>
      <c r="B154">
        <v>53</v>
      </c>
      <c r="C154">
        <v>56</v>
      </c>
      <c r="D154">
        <f t="shared" si="26"/>
        <v>54.5</v>
      </c>
      <c r="E154" s="4">
        <v>10</v>
      </c>
      <c r="F154" s="4">
        <f>1843.6-1815</f>
        <v>28.599999999999909</v>
      </c>
      <c r="G154" s="9">
        <f t="shared" si="27"/>
        <v>6.2800304691476008</v>
      </c>
      <c r="H154" s="3"/>
    </row>
    <row r="155" spans="1:8" x14ac:dyDescent="0.2">
      <c r="A155" s="4" t="s">
        <v>43</v>
      </c>
      <c r="B155">
        <v>22</v>
      </c>
      <c r="C155">
        <v>14</v>
      </c>
      <c r="D155">
        <f t="shared" si="26"/>
        <v>18</v>
      </c>
      <c r="E155" s="4">
        <v>100</v>
      </c>
      <c r="F155" s="4">
        <f>1980.7-1903.5</f>
        <v>77.200000000000045</v>
      </c>
      <c r="G155" s="9">
        <f t="shared" si="27"/>
        <v>6.3676552047675692</v>
      </c>
      <c r="H155" s="3"/>
    </row>
    <row r="156" spans="1:8" x14ac:dyDescent="0.2">
      <c r="A156" s="4" t="s">
        <v>44</v>
      </c>
      <c r="B156">
        <v>20</v>
      </c>
      <c r="C156">
        <v>20</v>
      </c>
      <c r="D156">
        <f t="shared" si="26"/>
        <v>20</v>
      </c>
      <c r="E156" s="4">
        <v>100</v>
      </c>
      <c r="F156" s="4">
        <f>2024.2-1957.8</f>
        <v>66.400000000000091</v>
      </c>
      <c r="G156" s="9">
        <f t="shared" si="27"/>
        <v>6.4788619162959629</v>
      </c>
      <c r="H156" s="3"/>
    </row>
    <row r="157" spans="1:8" x14ac:dyDescent="0.2">
      <c r="A157" s="4" t="s">
        <v>45</v>
      </c>
      <c r="B157">
        <v>29</v>
      </c>
      <c r="C157">
        <v>37</v>
      </c>
      <c r="D157">
        <f t="shared" si="26"/>
        <v>33</v>
      </c>
      <c r="E157" s="4">
        <v>100</v>
      </c>
      <c r="F157" s="4">
        <f>1750.4-1671.9</f>
        <v>78.5</v>
      </c>
      <c r="G157" s="9">
        <f t="shared" si="27"/>
        <v>6.6236442831326352</v>
      </c>
      <c r="H157" s="3"/>
    </row>
    <row r="158" spans="1:8" x14ac:dyDescent="0.2">
      <c r="A158" s="12" t="s">
        <v>46</v>
      </c>
      <c r="B158" s="13">
        <v>32</v>
      </c>
      <c r="C158" s="13">
        <v>43</v>
      </c>
      <c r="D158">
        <f t="shared" si="26"/>
        <v>37.5</v>
      </c>
      <c r="E158" s="12">
        <v>100</v>
      </c>
      <c r="F158" s="12">
        <f>1862-1736.6</f>
        <v>125.40000000000009</v>
      </c>
      <c r="G158" s="9">
        <f t="shared" si="27"/>
        <v>6.4757337312330208</v>
      </c>
      <c r="H158" s="3"/>
    </row>
    <row r="159" spans="1:8" x14ac:dyDescent="0.2">
      <c r="A159" s="12" t="s">
        <v>47</v>
      </c>
      <c r="B159" s="13">
        <v>22</v>
      </c>
      <c r="C159" s="13"/>
      <c r="D159">
        <f>AVERAGE(B159:C159)</f>
        <v>22</v>
      </c>
      <c r="E159" s="12">
        <v>10</v>
      </c>
      <c r="F159" s="12">
        <f>1789.8-1745.8</f>
        <v>44</v>
      </c>
      <c r="G159" s="9">
        <f t="shared" si="27"/>
        <v>5.6989700043360187</v>
      </c>
      <c r="H159" s="3"/>
    </row>
    <row r="160" spans="1:8" x14ac:dyDescent="0.2">
      <c r="A160" s="12" t="s">
        <v>48</v>
      </c>
      <c r="B160" s="13">
        <v>58</v>
      </c>
      <c r="C160" s="13">
        <v>60</v>
      </c>
      <c r="D160">
        <f t="shared" si="26"/>
        <v>59</v>
      </c>
      <c r="E160" s="12">
        <v>10</v>
      </c>
      <c r="F160" s="12">
        <f>1813-1732.3</f>
        <v>80.700000000000045</v>
      </c>
      <c r="G160" s="9">
        <f t="shared" si="27"/>
        <v>5.8639784769200736</v>
      </c>
      <c r="H160" s="3"/>
    </row>
    <row r="161" spans="1:8" x14ac:dyDescent="0.2">
      <c r="A161" s="4"/>
      <c r="B161" s="13"/>
      <c r="E161" s="12"/>
      <c r="F161" s="1"/>
      <c r="G161" s="3"/>
      <c r="H161" s="3"/>
    </row>
    <row r="162" spans="1:8" ht="51" x14ac:dyDescent="0.2">
      <c r="A162" s="11" t="s">
        <v>58</v>
      </c>
      <c r="B162" s="46" t="s">
        <v>0</v>
      </c>
      <c r="C162" s="46"/>
      <c r="D162" s="6" t="s">
        <v>1</v>
      </c>
      <c r="E162" s="6" t="s">
        <v>4</v>
      </c>
      <c r="F162" s="6" t="s">
        <v>2</v>
      </c>
      <c r="G162" s="8" t="s">
        <v>3</v>
      </c>
      <c r="H162" s="3"/>
    </row>
    <row r="163" spans="1:8" x14ac:dyDescent="0.2">
      <c r="A163" s="4" t="s">
        <v>11</v>
      </c>
      <c r="B163">
        <v>9</v>
      </c>
      <c r="C163">
        <v>6</v>
      </c>
      <c r="D163">
        <f>AVERAGE(B163:C163)</f>
        <v>7.5</v>
      </c>
      <c r="E163" s="4">
        <v>10000</v>
      </c>
      <c r="F163" s="4">
        <f>1761.3-1734.8</f>
        <v>26.5</v>
      </c>
      <c r="G163" s="9">
        <f>LOG10(D163*100*E163/F163*1000)</f>
        <v>8.4518153894548931</v>
      </c>
      <c r="H163" s="3"/>
    </row>
    <row r="164" spans="1:8" x14ac:dyDescent="0.2">
      <c r="A164" s="4" t="s">
        <v>12</v>
      </c>
      <c r="B164">
        <v>12</v>
      </c>
      <c r="C164">
        <v>18</v>
      </c>
      <c r="D164">
        <f t="shared" ref="D164:D174" si="28">AVERAGE(B164:C164)</f>
        <v>15</v>
      </c>
      <c r="E164" s="4">
        <v>10000</v>
      </c>
      <c r="F164" s="4">
        <f>1820.8-1788</f>
        <v>32.799999999999955</v>
      </c>
      <c r="G164" s="9">
        <f>LOG10(D164*100*E164/F164*1000)</f>
        <v>8.6602174153440021</v>
      </c>
    </row>
    <row r="165" spans="1:8" x14ac:dyDescent="0.2">
      <c r="A165" s="4" t="s">
        <v>9</v>
      </c>
      <c r="B165">
        <v>37</v>
      </c>
      <c r="C165">
        <v>29</v>
      </c>
      <c r="D165">
        <f t="shared" si="28"/>
        <v>33</v>
      </c>
      <c r="E165" s="4">
        <v>10000</v>
      </c>
      <c r="F165" s="4">
        <f>1909.8-1830</f>
        <v>79.799999999999955</v>
      </c>
      <c r="G165" s="9">
        <f t="shared" ref="G165:G174" si="29">LOG10(D165*100*E165/F165*1000)</f>
        <v>8.6165110485271583</v>
      </c>
    </row>
    <row r="166" spans="1:8" x14ac:dyDescent="0.2">
      <c r="A166" s="4" t="s">
        <v>14</v>
      </c>
      <c r="B166">
        <v>35</v>
      </c>
      <c r="C166">
        <v>31</v>
      </c>
      <c r="D166">
        <f t="shared" si="28"/>
        <v>33</v>
      </c>
      <c r="E166" s="4">
        <v>1000</v>
      </c>
      <c r="F166" s="4">
        <f>1972.4-1902.8</f>
        <v>69.600000000000136</v>
      </c>
      <c r="G166" s="9">
        <f t="shared" si="29"/>
        <v>7.6759047002673242</v>
      </c>
    </row>
    <row r="167" spans="1:8" ht="17" x14ac:dyDescent="0.2">
      <c r="A167" s="6" t="s">
        <v>13</v>
      </c>
      <c r="B167" s="7">
        <v>16</v>
      </c>
      <c r="C167" s="7">
        <v>19</v>
      </c>
      <c r="D167">
        <f t="shared" si="28"/>
        <v>17.5</v>
      </c>
      <c r="E167" s="6">
        <v>100</v>
      </c>
      <c r="F167" s="6">
        <f>1910.1-1840</f>
        <v>70.099999999999909</v>
      </c>
      <c r="G167" s="9">
        <f t="shared" si="29"/>
        <v>6.3973200307196363</v>
      </c>
    </row>
    <row r="168" spans="1:8" x14ac:dyDescent="0.2">
      <c r="A168" s="4" t="s">
        <v>42</v>
      </c>
      <c r="B168">
        <v>14</v>
      </c>
      <c r="C168">
        <v>12</v>
      </c>
      <c r="D168">
        <f t="shared" si="28"/>
        <v>13</v>
      </c>
      <c r="E168" s="4">
        <v>100</v>
      </c>
      <c r="F168" s="4">
        <f>2040.9-1951.5</f>
        <v>89.400000000000091</v>
      </c>
      <c r="G168" s="9">
        <f t="shared" si="29"/>
        <v>6.1626058335109191</v>
      </c>
    </row>
    <row r="169" spans="1:8" x14ac:dyDescent="0.2">
      <c r="A169" s="4" t="s">
        <v>43</v>
      </c>
      <c r="B169">
        <v>25</v>
      </c>
      <c r="C169">
        <v>28</v>
      </c>
      <c r="D169">
        <f t="shared" si="28"/>
        <v>26.5</v>
      </c>
      <c r="E169" s="4">
        <v>100</v>
      </c>
      <c r="F169" s="4">
        <f>1913-1839.2</f>
        <v>73.799999999999955</v>
      </c>
      <c r="G169" s="9">
        <f t="shared" si="29"/>
        <v>6.5551895121137669</v>
      </c>
    </row>
    <row r="170" spans="1:8" x14ac:dyDescent="0.2">
      <c r="A170" s="4" t="s">
        <v>44</v>
      </c>
      <c r="B170">
        <v>39</v>
      </c>
      <c r="C170">
        <v>43</v>
      </c>
      <c r="D170">
        <f t="shared" si="28"/>
        <v>41</v>
      </c>
      <c r="E170" s="4">
        <v>10</v>
      </c>
      <c r="F170" s="4">
        <f>1866.8-1818.5</f>
        <v>48.299999999999955</v>
      </c>
      <c r="G170" s="9">
        <f t="shared" si="29"/>
        <v>5.9288367259682238</v>
      </c>
    </row>
    <row r="171" spans="1:8" x14ac:dyDescent="0.2">
      <c r="A171" s="4" t="s">
        <v>45</v>
      </c>
      <c r="B171">
        <v>32</v>
      </c>
      <c r="C171">
        <v>39</v>
      </c>
      <c r="D171">
        <f t="shared" si="28"/>
        <v>35.5</v>
      </c>
      <c r="E171" s="4">
        <v>100</v>
      </c>
      <c r="F171" s="4">
        <f>1844.1-1749.7</f>
        <v>94.399999999999864</v>
      </c>
      <c r="G171" s="9">
        <f t="shared" si="29"/>
        <v>6.5752563587570254</v>
      </c>
    </row>
    <row r="172" spans="1:8" x14ac:dyDescent="0.2">
      <c r="A172" s="12" t="s">
        <v>46</v>
      </c>
      <c r="B172" s="13">
        <v>26</v>
      </c>
      <c r="C172" s="13">
        <v>40</v>
      </c>
      <c r="D172">
        <f t="shared" si="28"/>
        <v>33</v>
      </c>
      <c r="E172" s="12">
        <v>100</v>
      </c>
      <c r="F172" s="12">
        <f>1803.4-1654.3</f>
        <v>149.10000000000014</v>
      </c>
      <c r="G172" s="9">
        <f t="shared" si="29"/>
        <v>6.3450362964248921</v>
      </c>
    </row>
    <row r="173" spans="1:8" x14ac:dyDescent="0.2">
      <c r="A173" s="12" t="s">
        <v>47</v>
      </c>
      <c r="B173" s="13">
        <v>3</v>
      </c>
      <c r="C173" s="13">
        <v>4</v>
      </c>
      <c r="D173">
        <f t="shared" si="28"/>
        <v>3.5</v>
      </c>
      <c r="E173" s="12">
        <v>100</v>
      </c>
      <c r="F173" s="12">
        <f>1919.8-1820.5</f>
        <v>99.299999999999955</v>
      </c>
      <c r="G173" s="9">
        <f t="shared" si="29"/>
        <v>5.5471187958548951</v>
      </c>
    </row>
    <row r="174" spans="1:8" x14ac:dyDescent="0.2">
      <c r="A174" s="12" t="s">
        <v>48</v>
      </c>
      <c r="B174" s="13">
        <v>6</v>
      </c>
      <c r="C174" s="13">
        <v>9</v>
      </c>
      <c r="D174">
        <f t="shared" si="28"/>
        <v>7.5</v>
      </c>
      <c r="E174" s="12">
        <v>100</v>
      </c>
      <c r="F174" s="12">
        <f>2066.3-1960.4</f>
        <v>105.90000000000009</v>
      </c>
      <c r="G174" s="9">
        <f t="shared" si="29"/>
        <v>5.8501653032842151</v>
      </c>
    </row>
  </sheetData>
  <mergeCells count="17">
    <mergeCell ref="B50:C50"/>
    <mergeCell ref="B78:C78"/>
    <mergeCell ref="B148:C148"/>
    <mergeCell ref="B162:C162"/>
    <mergeCell ref="B14:C14"/>
    <mergeCell ref="B64:C64"/>
    <mergeCell ref="B147:C147"/>
    <mergeCell ref="B106:C106"/>
    <mergeCell ref="B120:C120"/>
    <mergeCell ref="B134:C134"/>
    <mergeCell ref="B92:C92"/>
    <mergeCell ref="B36:C36"/>
    <mergeCell ref="B1:C1"/>
    <mergeCell ref="B8:C8"/>
    <mergeCell ref="B15:C15"/>
    <mergeCell ref="B22:C22"/>
    <mergeCell ref="B29:C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53DA-C6B3-C443-9F7F-0A32CBDCC52E}">
  <dimension ref="A1:L46"/>
  <sheetViews>
    <sheetView topLeftCell="A23" workbookViewId="0">
      <selection activeCell="I47" sqref="I47"/>
    </sheetView>
  </sheetViews>
  <sheetFormatPr baseColWidth="10" defaultRowHeight="16" x14ac:dyDescent="0.2"/>
  <cols>
    <col min="1" max="1" width="16.33203125" customWidth="1"/>
    <col min="2" max="2" width="15" customWidth="1"/>
    <col min="12" max="12" width="10.83203125" style="35"/>
  </cols>
  <sheetData>
    <row r="1" spans="1:12" ht="43" thickBot="1" x14ac:dyDescent="0.25">
      <c r="B1" s="1"/>
      <c r="C1" s="20" t="s">
        <v>5</v>
      </c>
      <c r="D1" s="20" t="s">
        <v>6</v>
      </c>
      <c r="E1" s="20" t="s">
        <v>10</v>
      </c>
      <c r="F1" s="20" t="s">
        <v>7</v>
      </c>
      <c r="G1" s="20" t="s">
        <v>8</v>
      </c>
      <c r="H1" s="20" t="s">
        <v>15</v>
      </c>
      <c r="I1" s="20" t="s">
        <v>22</v>
      </c>
    </row>
    <row r="2" spans="1:12" x14ac:dyDescent="0.2">
      <c r="A2" s="39" t="s">
        <v>24</v>
      </c>
      <c r="B2" s="49" t="s">
        <v>25</v>
      </c>
      <c r="C2" s="21">
        <v>9</v>
      </c>
      <c r="D2" s="22">
        <v>10000</v>
      </c>
      <c r="E2" s="23">
        <f>C2*5*D2</f>
        <v>450000</v>
      </c>
      <c r="F2" s="41">
        <f>AVERAGE(E2:E4)</f>
        <v>466666.66666666669</v>
      </c>
      <c r="G2" s="52">
        <f>LOG10(F2)</f>
        <v>5.6690067809585756</v>
      </c>
      <c r="I2" s="47">
        <v>0.40600000000000003</v>
      </c>
    </row>
    <row r="3" spans="1:12" x14ac:dyDescent="0.2">
      <c r="A3" s="48"/>
      <c r="B3" s="50"/>
      <c r="C3" s="24">
        <v>11</v>
      </c>
      <c r="D3" s="25">
        <v>10000</v>
      </c>
      <c r="E3" s="25">
        <f>C3*5*D3</f>
        <v>550000</v>
      </c>
      <c r="F3" s="51"/>
      <c r="G3" s="53"/>
      <c r="I3" s="47"/>
    </row>
    <row r="4" spans="1:12" x14ac:dyDescent="0.2">
      <c r="A4" s="48"/>
      <c r="B4" s="50"/>
      <c r="C4" s="24">
        <v>8</v>
      </c>
      <c r="D4" s="26">
        <v>10000</v>
      </c>
      <c r="E4" s="25">
        <f t="shared" ref="E4:E10" si="0">C4*5*D4</f>
        <v>400000</v>
      </c>
      <c r="F4" s="51"/>
      <c r="G4" s="53"/>
      <c r="I4" s="47"/>
    </row>
    <row r="5" spans="1:12" x14ac:dyDescent="0.2">
      <c r="A5" s="48"/>
      <c r="B5" s="54" t="s">
        <v>26</v>
      </c>
      <c r="C5" s="27">
        <v>10</v>
      </c>
      <c r="D5" s="25">
        <v>10000</v>
      </c>
      <c r="E5" s="25">
        <f t="shared" si="0"/>
        <v>500000</v>
      </c>
      <c r="F5" s="55">
        <f>AVERAGE(E5:E7)</f>
        <v>550000</v>
      </c>
      <c r="G5" s="56">
        <f>LOG10(F5)</f>
        <v>5.7403626894942441</v>
      </c>
      <c r="I5" s="46" t="s">
        <v>59</v>
      </c>
    </row>
    <row r="6" spans="1:12" x14ac:dyDescent="0.2">
      <c r="A6" s="48"/>
      <c r="B6" s="50"/>
      <c r="C6" s="27">
        <v>13</v>
      </c>
      <c r="D6" s="25">
        <v>10000</v>
      </c>
      <c r="E6" s="25">
        <f t="shared" si="0"/>
        <v>650000</v>
      </c>
      <c r="F6" s="55"/>
      <c r="G6" s="56"/>
      <c r="I6" s="46"/>
    </row>
    <row r="7" spans="1:12" ht="17" thickBot="1" x14ac:dyDescent="0.25">
      <c r="A7" s="48"/>
      <c r="B7" s="50"/>
      <c r="C7" s="27">
        <v>10</v>
      </c>
      <c r="D7" s="25">
        <v>10000</v>
      </c>
      <c r="E7" s="25">
        <f t="shared" si="0"/>
        <v>500000</v>
      </c>
      <c r="F7" s="55"/>
      <c r="G7" s="56"/>
      <c r="I7" s="46"/>
    </row>
    <row r="8" spans="1:12" x14ac:dyDescent="0.2">
      <c r="A8" s="48"/>
      <c r="B8" s="57" t="s">
        <v>16</v>
      </c>
      <c r="C8" s="27">
        <f>C2+C5</f>
        <v>19</v>
      </c>
      <c r="D8" s="28">
        <v>10000</v>
      </c>
      <c r="E8" s="25">
        <f t="shared" si="0"/>
        <v>950000</v>
      </c>
      <c r="F8" s="60">
        <f>AVERAGE(E8:E10)</f>
        <v>1016666.6666666666</v>
      </c>
      <c r="G8" s="63">
        <f>LOG10(F8)</f>
        <v>6.0071785846271233</v>
      </c>
      <c r="H8" s="66">
        <f>F2/F5</f>
        <v>0.84848484848484851</v>
      </c>
    </row>
    <row r="9" spans="1:12" x14ac:dyDescent="0.2">
      <c r="A9" s="48"/>
      <c r="B9" s="58"/>
      <c r="C9" s="27">
        <f>C3+C6</f>
        <v>24</v>
      </c>
      <c r="D9" s="29">
        <v>10000</v>
      </c>
      <c r="E9" s="25">
        <f t="shared" si="0"/>
        <v>1200000</v>
      </c>
      <c r="F9" s="61"/>
      <c r="G9" s="64"/>
      <c r="H9" s="67"/>
    </row>
    <row r="10" spans="1:12" ht="17" thickBot="1" x14ac:dyDescent="0.25">
      <c r="A10" s="40"/>
      <c r="B10" s="59"/>
      <c r="C10" s="30">
        <f>C4+C7</f>
        <v>18</v>
      </c>
      <c r="D10" s="31">
        <v>10000</v>
      </c>
      <c r="E10" s="32">
        <f t="shared" si="0"/>
        <v>900000</v>
      </c>
      <c r="F10" s="62"/>
      <c r="G10" s="65"/>
      <c r="H10" s="68"/>
    </row>
    <row r="12" spans="1:12" s="16" customFormat="1" x14ac:dyDescent="0.2">
      <c r="L12" s="36"/>
    </row>
    <row r="13" spans="1:12" ht="51" customHeight="1" x14ac:dyDescent="0.2">
      <c r="A13" s="2" t="s">
        <v>27</v>
      </c>
      <c r="B13" s="46" t="s">
        <v>33</v>
      </c>
      <c r="C13" s="46"/>
      <c r="D13" s="6" t="s">
        <v>1</v>
      </c>
      <c r="E13" s="6" t="s">
        <v>4</v>
      </c>
      <c r="F13" s="6" t="s">
        <v>2</v>
      </c>
      <c r="G13" s="69" t="s">
        <v>34</v>
      </c>
      <c r="H13" s="69"/>
      <c r="I13" s="33" t="s">
        <v>17</v>
      </c>
      <c r="J13" s="6" t="s">
        <v>18</v>
      </c>
      <c r="K13" s="6" t="s">
        <v>19</v>
      </c>
      <c r="L13" s="37" t="s">
        <v>21</v>
      </c>
    </row>
    <row r="14" spans="1:12" x14ac:dyDescent="0.2">
      <c r="A14" s="4" t="s">
        <v>11</v>
      </c>
      <c r="B14">
        <v>1</v>
      </c>
      <c r="C14">
        <v>1</v>
      </c>
      <c r="D14">
        <f>AVERAGE(B14:C14)</f>
        <v>1</v>
      </c>
      <c r="E14" s="4">
        <v>1000</v>
      </c>
      <c r="F14" s="4">
        <f>1672.4-1647</f>
        <v>25.400000000000091</v>
      </c>
      <c r="G14" s="3">
        <v>20</v>
      </c>
      <c r="H14" s="3">
        <v>30</v>
      </c>
      <c r="I14" s="3">
        <v>1000</v>
      </c>
      <c r="J14" s="3">
        <f>AVERAGE(G14:H14)</f>
        <v>25</v>
      </c>
      <c r="K14">
        <f>(I14*J14)/(D14*E14)</f>
        <v>25</v>
      </c>
      <c r="L14" s="35">
        <f>K14/$H$8</f>
        <v>29.464285714285712</v>
      </c>
    </row>
    <row r="15" spans="1:12" x14ac:dyDescent="0.2">
      <c r="A15" s="4" t="s">
        <v>12</v>
      </c>
      <c r="B15">
        <v>2</v>
      </c>
      <c r="C15">
        <v>3</v>
      </c>
      <c r="D15">
        <f t="shared" ref="D15:D18" si="1">AVERAGE(B15:C15)</f>
        <v>2.5</v>
      </c>
      <c r="E15" s="4">
        <v>1000</v>
      </c>
      <c r="F15" s="4">
        <f>1749.7-1727.7</f>
        <v>22</v>
      </c>
      <c r="G15" s="3">
        <v>41</v>
      </c>
      <c r="H15" s="3">
        <v>45</v>
      </c>
      <c r="I15" s="3">
        <v>1000</v>
      </c>
      <c r="J15" s="3">
        <f>AVERAGE(G15:H15)</f>
        <v>43</v>
      </c>
      <c r="K15">
        <f>(I15*J15)/(D15*E15)</f>
        <v>17.2</v>
      </c>
      <c r="L15" s="35">
        <f t="shared" ref="L15:L18" si="2">K15/$H$8</f>
        <v>20.271428571428569</v>
      </c>
    </row>
    <row r="16" spans="1:12" x14ac:dyDescent="0.2">
      <c r="A16" s="4" t="s">
        <v>9</v>
      </c>
      <c r="B16">
        <v>13</v>
      </c>
      <c r="D16">
        <f t="shared" si="1"/>
        <v>13</v>
      </c>
      <c r="E16" s="4">
        <v>100</v>
      </c>
      <c r="F16" s="4">
        <f>1918.5-1896.2</f>
        <v>22.299999999999955</v>
      </c>
      <c r="G16" s="3">
        <v>46</v>
      </c>
      <c r="H16" s="3">
        <v>58</v>
      </c>
      <c r="I16" s="3">
        <v>1000</v>
      </c>
      <c r="J16" s="3">
        <f t="shared" ref="J16:J18" si="3">AVERAGE(G16:H16)</f>
        <v>52</v>
      </c>
      <c r="K16">
        <f>(I16*J16)/(D16*E16)</f>
        <v>40</v>
      </c>
      <c r="L16" s="35">
        <f t="shared" si="2"/>
        <v>47.142857142857139</v>
      </c>
    </row>
    <row r="17" spans="1:12" x14ac:dyDescent="0.2">
      <c r="A17" s="4" t="s">
        <v>14</v>
      </c>
      <c r="B17">
        <v>46</v>
      </c>
      <c r="D17">
        <f t="shared" si="1"/>
        <v>46</v>
      </c>
      <c r="E17" s="4">
        <v>1</v>
      </c>
      <c r="F17" s="4">
        <f>1866-1832.7</f>
        <v>33.299999999999955</v>
      </c>
      <c r="G17" s="3">
        <v>29</v>
      </c>
      <c r="H17" s="3">
        <v>22</v>
      </c>
      <c r="I17" s="3">
        <v>1000</v>
      </c>
      <c r="J17" s="3">
        <f t="shared" si="3"/>
        <v>25.5</v>
      </c>
      <c r="K17">
        <f>(I17*J17)/(D17*E17)</f>
        <v>554.3478260869565</v>
      </c>
      <c r="L17" s="35">
        <f>K17/$H$8</f>
        <v>653.33850931677011</v>
      </c>
    </row>
    <row r="18" spans="1:12" ht="17" x14ac:dyDescent="0.2">
      <c r="A18" s="6" t="s">
        <v>13</v>
      </c>
      <c r="B18" s="7">
        <v>8</v>
      </c>
      <c r="C18" s="7"/>
      <c r="D18">
        <f t="shared" si="1"/>
        <v>8</v>
      </c>
      <c r="E18" s="6">
        <v>1</v>
      </c>
      <c r="F18" s="6">
        <f>1957.8-1830.3</f>
        <v>127.5</v>
      </c>
      <c r="G18" s="3">
        <v>32</v>
      </c>
      <c r="H18" s="3">
        <v>37</v>
      </c>
      <c r="I18" s="3">
        <v>100</v>
      </c>
      <c r="J18" s="3">
        <f t="shared" si="3"/>
        <v>34.5</v>
      </c>
      <c r="K18">
        <f>(I18*J18)/(D18*E18)</f>
        <v>431.25</v>
      </c>
      <c r="L18" s="35">
        <f t="shared" si="2"/>
        <v>508.25892857142856</v>
      </c>
    </row>
    <row r="20" spans="1:12" ht="51" x14ac:dyDescent="0.2">
      <c r="A20" s="2" t="s">
        <v>28</v>
      </c>
      <c r="B20" s="46" t="s">
        <v>32</v>
      </c>
      <c r="C20" s="46"/>
      <c r="D20" s="6" t="s">
        <v>1</v>
      </c>
      <c r="E20" s="6" t="s">
        <v>4</v>
      </c>
      <c r="F20" s="6" t="s">
        <v>2</v>
      </c>
      <c r="G20" s="69" t="s">
        <v>34</v>
      </c>
      <c r="H20" s="69"/>
      <c r="I20" s="33" t="s">
        <v>17</v>
      </c>
      <c r="J20" s="6" t="s">
        <v>18</v>
      </c>
      <c r="K20" s="6" t="s">
        <v>19</v>
      </c>
      <c r="L20" s="37" t="s">
        <v>20</v>
      </c>
    </row>
    <row r="21" spans="1:12" x14ac:dyDescent="0.2">
      <c r="A21" s="4" t="s">
        <v>11</v>
      </c>
      <c r="B21">
        <v>30</v>
      </c>
      <c r="C21">
        <v>32</v>
      </c>
      <c r="D21">
        <f>AVERAGE(B21:C21)</f>
        <v>31</v>
      </c>
      <c r="E21" s="4">
        <v>1000</v>
      </c>
      <c r="F21" s="4">
        <f>1836.4-1786.1</f>
        <v>50.300000000000182</v>
      </c>
      <c r="G21" s="3">
        <v>18</v>
      </c>
      <c r="H21" s="3">
        <v>14</v>
      </c>
      <c r="I21" s="3">
        <v>1000</v>
      </c>
      <c r="J21" s="3">
        <f>AVERAGE(G21:H21)</f>
        <v>16</v>
      </c>
      <c r="K21">
        <f>(I21*J21)/(D21*E21)</f>
        <v>0.5161290322580645</v>
      </c>
      <c r="L21" s="35">
        <f>K21/$H$8</f>
        <v>0.60829493087557596</v>
      </c>
    </row>
    <row r="22" spans="1:12" x14ac:dyDescent="0.2">
      <c r="A22" s="4" t="s">
        <v>12</v>
      </c>
      <c r="B22">
        <v>34</v>
      </c>
      <c r="C22">
        <v>37</v>
      </c>
      <c r="D22">
        <f t="shared" ref="D22:D25" si="4">AVERAGE(B22:C22)</f>
        <v>35.5</v>
      </c>
      <c r="E22" s="4">
        <v>10000</v>
      </c>
      <c r="F22" s="4">
        <f>1848.4-1792.9</f>
        <v>55.5</v>
      </c>
      <c r="G22" s="3">
        <v>2</v>
      </c>
      <c r="H22" s="3">
        <v>4</v>
      </c>
      <c r="I22" s="3">
        <v>10000</v>
      </c>
      <c r="J22" s="3">
        <f t="shared" ref="J22:J25" si="5">AVERAGE(G22:H22)</f>
        <v>3</v>
      </c>
      <c r="K22">
        <f>(I22*J22)/(D22*E22)</f>
        <v>8.4507042253521125E-2</v>
      </c>
      <c r="L22" s="35">
        <f t="shared" ref="L22:L25" si="6">K22/$H$8</f>
        <v>9.9597585513078471E-2</v>
      </c>
    </row>
    <row r="23" spans="1:12" x14ac:dyDescent="0.2">
      <c r="A23" s="4" t="s">
        <v>9</v>
      </c>
      <c r="B23">
        <v>30</v>
      </c>
      <c r="C23">
        <v>37</v>
      </c>
      <c r="D23">
        <f t="shared" si="4"/>
        <v>33.5</v>
      </c>
      <c r="E23" s="4">
        <v>10000</v>
      </c>
      <c r="F23" s="4">
        <f>2030.4-1906.9</f>
        <v>123.5</v>
      </c>
      <c r="G23" s="3">
        <v>1</v>
      </c>
      <c r="H23" s="3">
        <v>3</v>
      </c>
      <c r="I23" s="3">
        <v>10000</v>
      </c>
      <c r="J23" s="3">
        <f t="shared" si="5"/>
        <v>2</v>
      </c>
      <c r="K23">
        <f>(I23*J23)/(D23*E23)</f>
        <v>5.9701492537313432E-2</v>
      </c>
      <c r="L23" s="35">
        <f t="shared" si="6"/>
        <v>7.0362473347547971E-2</v>
      </c>
    </row>
    <row r="24" spans="1:12" x14ac:dyDescent="0.2">
      <c r="A24" s="4" t="s">
        <v>14</v>
      </c>
      <c r="B24">
        <v>22</v>
      </c>
      <c r="C24">
        <v>13</v>
      </c>
      <c r="D24">
        <f t="shared" si="4"/>
        <v>17.5</v>
      </c>
      <c r="E24" s="4">
        <v>100</v>
      </c>
      <c r="F24" s="4">
        <f>1954.6-1898.6</f>
        <v>56</v>
      </c>
      <c r="G24" s="3">
        <v>4</v>
      </c>
      <c r="H24" s="3">
        <v>1</v>
      </c>
      <c r="I24" s="3">
        <v>100</v>
      </c>
      <c r="J24" s="3">
        <f t="shared" si="5"/>
        <v>2.5</v>
      </c>
      <c r="K24">
        <f>(I24*J24)/(D24*E24)</f>
        <v>0.14285714285714285</v>
      </c>
      <c r="L24" s="35">
        <f>K24/$H$8</f>
        <v>0.1683673469387755</v>
      </c>
    </row>
    <row r="25" spans="1:12" ht="17" x14ac:dyDescent="0.2">
      <c r="A25" s="6" t="s">
        <v>13</v>
      </c>
      <c r="B25" s="7">
        <v>46</v>
      </c>
      <c r="C25" s="7">
        <v>52</v>
      </c>
      <c r="D25">
        <f t="shared" si="4"/>
        <v>49</v>
      </c>
      <c r="E25" s="6">
        <v>10</v>
      </c>
      <c r="F25" s="6">
        <f>2080.7-1954.9</f>
        <v>125.79999999999973</v>
      </c>
      <c r="G25" s="3">
        <v>22</v>
      </c>
      <c r="H25" s="3">
        <v>17</v>
      </c>
      <c r="I25" s="3">
        <v>10</v>
      </c>
      <c r="J25" s="3">
        <f t="shared" si="5"/>
        <v>19.5</v>
      </c>
      <c r="K25">
        <f>(I25*J25)/(D25*E25)</f>
        <v>0.39795918367346939</v>
      </c>
      <c r="L25" s="35">
        <f t="shared" si="6"/>
        <v>0.46902332361516036</v>
      </c>
    </row>
    <row r="27" spans="1:12" ht="51" x14ac:dyDescent="0.2">
      <c r="A27" s="2" t="s">
        <v>29</v>
      </c>
      <c r="B27" s="46" t="s">
        <v>32</v>
      </c>
      <c r="C27" s="46"/>
      <c r="D27" s="6" t="s">
        <v>1</v>
      </c>
      <c r="E27" s="6" t="s">
        <v>4</v>
      </c>
      <c r="F27" s="6" t="s">
        <v>2</v>
      </c>
      <c r="G27" s="69" t="s">
        <v>34</v>
      </c>
      <c r="H27" s="69"/>
      <c r="I27" s="33" t="s">
        <v>17</v>
      </c>
      <c r="J27" s="6" t="s">
        <v>18</v>
      </c>
      <c r="K27" s="6" t="s">
        <v>19</v>
      </c>
      <c r="L27" s="37" t="s">
        <v>20</v>
      </c>
    </row>
    <row r="28" spans="1:12" x14ac:dyDescent="0.2">
      <c r="A28" s="4" t="s">
        <v>11</v>
      </c>
      <c r="B28">
        <v>29</v>
      </c>
      <c r="C28">
        <v>25</v>
      </c>
      <c r="D28">
        <f>AVERAGE(B28:C28)</f>
        <v>27</v>
      </c>
      <c r="E28" s="4">
        <v>1000</v>
      </c>
      <c r="F28" s="4">
        <f>1808.7-1789.2</f>
        <v>19.5</v>
      </c>
      <c r="G28" s="3">
        <v>67</v>
      </c>
      <c r="H28" s="3">
        <v>63</v>
      </c>
      <c r="I28" s="3">
        <v>1000</v>
      </c>
      <c r="J28" s="3">
        <f>AVERAGE(G28:H28)</f>
        <v>65</v>
      </c>
      <c r="K28">
        <f>(I28*J28)/(D28*E28)</f>
        <v>2.4074074074074074</v>
      </c>
      <c r="L28" s="35">
        <f>K28/$H$8</f>
        <v>2.8373015873015874</v>
      </c>
    </row>
    <row r="29" spans="1:12" x14ac:dyDescent="0.2">
      <c r="A29" s="4" t="s">
        <v>12</v>
      </c>
      <c r="B29">
        <v>7</v>
      </c>
      <c r="C29">
        <v>7</v>
      </c>
      <c r="D29">
        <f t="shared" ref="D29:D32" si="7">AVERAGE(B29:C29)</f>
        <v>7</v>
      </c>
      <c r="E29" s="4">
        <v>10000</v>
      </c>
      <c r="F29" s="4">
        <f>1777-1728.8</f>
        <v>48.200000000000045</v>
      </c>
      <c r="G29" s="3">
        <v>31</v>
      </c>
      <c r="H29" s="3">
        <v>26</v>
      </c>
      <c r="I29" s="3">
        <v>10000</v>
      </c>
      <c r="J29" s="3">
        <f t="shared" ref="J29:J32" si="8">AVERAGE(G29:H29)</f>
        <v>28.5</v>
      </c>
      <c r="K29">
        <f>(I29*J29)/(D29*E29)</f>
        <v>4.0714285714285712</v>
      </c>
      <c r="L29" s="35">
        <f t="shared" ref="L29:L32" si="9">K29/$H$8</f>
        <v>4.7984693877551017</v>
      </c>
    </row>
    <row r="30" spans="1:12" x14ac:dyDescent="0.2">
      <c r="A30" s="4" t="s">
        <v>9</v>
      </c>
      <c r="B30">
        <v>9</v>
      </c>
      <c r="C30">
        <v>9</v>
      </c>
      <c r="D30">
        <f t="shared" si="7"/>
        <v>9</v>
      </c>
      <c r="E30" s="4">
        <v>10000</v>
      </c>
      <c r="F30" s="4">
        <f>2015.2-1957.3</f>
        <v>57.900000000000091</v>
      </c>
      <c r="G30" s="3">
        <v>30</v>
      </c>
      <c r="H30" s="3">
        <v>32</v>
      </c>
      <c r="I30" s="3">
        <v>10000</v>
      </c>
      <c r="J30" s="3">
        <f t="shared" si="8"/>
        <v>31</v>
      </c>
      <c r="K30">
        <f>(I30*J30)/(D30*E30)</f>
        <v>3.4444444444444446</v>
      </c>
      <c r="L30" s="35">
        <f t="shared" si="9"/>
        <v>4.0595238095238093</v>
      </c>
    </row>
    <row r="31" spans="1:12" x14ac:dyDescent="0.2">
      <c r="A31" s="4" t="s">
        <v>14</v>
      </c>
      <c r="B31">
        <v>2</v>
      </c>
      <c r="C31">
        <v>5</v>
      </c>
      <c r="D31">
        <f t="shared" si="7"/>
        <v>3.5</v>
      </c>
      <c r="E31" s="4">
        <v>100</v>
      </c>
      <c r="F31" s="4">
        <f>1989.4-1897</f>
        <v>92.400000000000091</v>
      </c>
      <c r="G31" s="3">
        <v>16</v>
      </c>
      <c r="H31" s="3">
        <v>12</v>
      </c>
      <c r="I31" s="3">
        <v>100</v>
      </c>
      <c r="J31" s="3">
        <f t="shared" si="8"/>
        <v>14</v>
      </c>
      <c r="K31">
        <f>(I31*J31)/(D31*E31)</f>
        <v>4</v>
      </c>
      <c r="L31" s="35">
        <f t="shared" si="9"/>
        <v>4.7142857142857144</v>
      </c>
    </row>
    <row r="32" spans="1:12" ht="17" x14ac:dyDescent="0.2">
      <c r="A32" s="6" t="s">
        <v>13</v>
      </c>
      <c r="B32" s="7">
        <v>12</v>
      </c>
      <c r="C32" s="7">
        <v>13</v>
      </c>
      <c r="D32">
        <f t="shared" si="7"/>
        <v>12.5</v>
      </c>
      <c r="E32" s="6">
        <v>100</v>
      </c>
      <c r="F32" s="6">
        <f>2023.7-1904.7</f>
        <v>119</v>
      </c>
      <c r="G32" s="3">
        <v>6</v>
      </c>
      <c r="H32" s="3">
        <v>8</v>
      </c>
      <c r="I32" s="3">
        <v>100</v>
      </c>
      <c r="J32" s="3">
        <f t="shared" si="8"/>
        <v>7</v>
      </c>
      <c r="K32">
        <f>(I32*J32)/(D32*E32)</f>
        <v>0.56000000000000005</v>
      </c>
      <c r="L32" s="35">
        <f t="shared" si="9"/>
        <v>0.66</v>
      </c>
    </row>
    <row r="34" spans="1:12" ht="51" x14ac:dyDescent="0.2">
      <c r="A34" s="2" t="s">
        <v>30</v>
      </c>
      <c r="B34" s="46" t="s">
        <v>32</v>
      </c>
      <c r="C34" s="46"/>
      <c r="D34" s="6" t="s">
        <v>1</v>
      </c>
      <c r="E34" s="6" t="s">
        <v>4</v>
      </c>
      <c r="F34" s="6" t="s">
        <v>2</v>
      </c>
      <c r="G34" s="69" t="s">
        <v>34</v>
      </c>
      <c r="H34" s="69"/>
      <c r="I34" s="33" t="s">
        <v>17</v>
      </c>
      <c r="J34" s="6" t="s">
        <v>18</v>
      </c>
      <c r="K34" s="6" t="s">
        <v>19</v>
      </c>
      <c r="L34" s="37" t="s">
        <v>20</v>
      </c>
    </row>
    <row r="35" spans="1:12" x14ac:dyDescent="0.2">
      <c r="A35" s="4" t="s">
        <v>11</v>
      </c>
      <c r="B35">
        <v>4</v>
      </c>
      <c r="C35">
        <v>7</v>
      </c>
      <c r="D35">
        <f>AVERAGE(B35:C35)</f>
        <v>5.5</v>
      </c>
      <c r="E35" s="4">
        <v>10000</v>
      </c>
      <c r="F35" s="4">
        <f>1840.6-1797.2</f>
        <v>43.399999999999864</v>
      </c>
      <c r="G35" s="3">
        <v>11</v>
      </c>
      <c r="H35" s="3">
        <v>5</v>
      </c>
      <c r="I35" s="3">
        <v>10000</v>
      </c>
      <c r="J35" s="3">
        <f>AVERAGE(G35:H35)</f>
        <v>8</v>
      </c>
      <c r="K35">
        <f>(I35*J35)/(D35*E35)</f>
        <v>1.4545454545454546</v>
      </c>
      <c r="L35" s="35">
        <f>K35/$H$8</f>
        <v>1.7142857142857142</v>
      </c>
    </row>
    <row r="36" spans="1:12" x14ac:dyDescent="0.2">
      <c r="A36" s="4" t="s">
        <v>12</v>
      </c>
      <c r="B36">
        <v>22</v>
      </c>
      <c r="C36">
        <v>16</v>
      </c>
      <c r="D36">
        <f t="shared" ref="D36:D39" si="10">AVERAGE(B36:C36)</f>
        <v>19</v>
      </c>
      <c r="E36" s="4">
        <v>1000</v>
      </c>
      <c r="F36" s="4">
        <f>1815.2-1790.1</f>
        <v>25.100000000000136</v>
      </c>
      <c r="G36" s="3">
        <v>59</v>
      </c>
      <c r="H36" s="3">
        <v>43</v>
      </c>
      <c r="I36" s="3">
        <v>1000</v>
      </c>
      <c r="J36" s="3">
        <f t="shared" ref="J36:J39" si="11">AVERAGE(G36:H36)</f>
        <v>51</v>
      </c>
      <c r="K36">
        <f>(I36*J36)/(D36*E36)</f>
        <v>2.6842105263157894</v>
      </c>
      <c r="L36" s="35">
        <f t="shared" ref="L36:L39" si="12">K36/$H$8</f>
        <v>3.1635338345864659</v>
      </c>
    </row>
    <row r="37" spans="1:12" x14ac:dyDescent="0.2">
      <c r="A37" s="4" t="s">
        <v>9</v>
      </c>
      <c r="B37">
        <v>15</v>
      </c>
      <c r="C37">
        <v>14</v>
      </c>
      <c r="D37">
        <f t="shared" si="10"/>
        <v>14.5</v>
      </c>
      <c r="E37" s="4">
        <v>1000</v>
      </c>
      <c r="F37" s="4">
        <f>1819.3-1749.3</f>
        <v>70</v>
      </c>
      <c r="G37" s="3">
        <v>61</v>
      </c>
      <c r="H37" s="3">
        <v>61</v>
      </c>
      <c r="I37" s="3">
        <v>1000</v>
      </c>
      <c r="J37" s="3">
        <f t="shared" si="11"/>
        <v>61</v>
      </c>
      <c r="K37">
        <f>(I37*J37)/(D37*E37)</f>
        <v>4.2068965517241379</v>
      </c>
      <c r="L37" s="35">
        <f t="shared" si="12"/>
        <v>4.958128078817734</v>
      </c>
    </row>
    <row r="38" spans="1:12" x14ac:dyDescent="0.2">
      <c r="A38" s="4" t="s">
        <v>14</v>
      </c>
      <c r="B38">
        <v>8</v>
      </c>
      <c r="C38">
        <v>11</v>
      </c>
      <c r="D38">
        <f t="shared" si="10"/>
        <v>9.5</v>
      </c>
      <c r="E38" s="4">
        <v>10</v>
      </c>
      <c r="F38" s="4">
        <f>2015.3-1908</f>
        <v>107.29999999999995</v>
      </c>
      <c r="G38" s="3">
        <v>60</v>
      </c>
      <c r="H38" s="3">
        <v>60</v>
      </c>
      <c r="I38" s="3">
        <v>10</v>
      </c>
      <c r="J38" s="3">
        <f t="shared" si="11"/>
        <v>60</v>
      </c>
      <c r="K38">
        <f>(I38*J38)/(D38*E38)</f>
        <v>6.3157894736842106</v>
      </c>
      <c r="L38" s="35">
        <f t="shared" si="12"/>
        <v>7.4436090225563909</v>
      </c>
    </row>
    <row r="39" spans="1:12" ht="17" x14ac:dyDescent="0.2">
      <c r="A39" s="6" t="s">
        <v>13</v>
      </c>
      <c r="B39" s="7">
        <v>6</v>
      </c>
      <c r="C39" s="7">
        <v>5</v>
      </c>
      <c r="D39">
        <f t="shared" si="10"/>
        <v>5.5</v>
      </c>
      <c r="E39" s="6">
        <v>10</v>
      </c>
      <c r="F39" s="6">
        <f>1982.1-1832.5</f>
        <v>149.59999999999991</v>
      </c>
      <c r="G39" s="3">
        <v>31</v>
      </c>
      <c r="H39" s="3">
        <v>44</v>
      </c>
      <c r="I39" s="3">
        <v>10</v>
      </c>
      <c r="J39" s="3">
        <f t="shared" si="11"/>
        <v>37.5</v>
      </c>
      <c r="K39">
        <f>(I39*J39)/(D39*E39)</f>
        <v>6.8181818181818183</v>
      </c>
      <c r="L39" s="35">
        <f t="shared" si="12"/>
        <v>8.0357142857142865</v>
      </c>
    </row>
    <row r="41" spans="1:12" ht="51" x14ac:dyDescent="0.2">
      <c r="A41" s="2" t="s">
        <v>31</v>
      </c>
      <c r="B41" s="46" t="s">
        <v>32</v>
      </c>
      <c r="C41" s="46"/>
      <c r="D41" s="6" t="s">
        <v>1</v>
      </c>
      <c r="E41" s="6" t="s">
        <v>4</v>
      </c>
      <c r="F41" s="6" t="s">
        <v>2</v>
      </c>
      <c r="G41" s="69" t="s">
        <v>34</v>
      </c>
      <c r="H41" s="69"/>
      <c r="I41" s="33" t="s">
        <v>17</v>
      </c>
      <c r="J41" s="6" t="s">
        <v>18</v>
      </c>
      <c r="K41" s="6" t="s">
        <v>19</v>
      </c>
      <c r="L41" s="37" t="s">
        <v>20</v>
      </c>
    </row>
    <row r="42" spans="1:12" x14ac:dyDescent="0.2">
      <c r="A42" s="4" t="s">
        <v>11</v>
      </c>
      <c r="B42">
        <v>22</v>
      </c>
      <c r="C42">
        <v>25</v>
      </c>
      <c r="D42">
        <f>AVERAGE(B42:C42)</f>
        <v>23.5</v>
      </c>
      <c r="E42" s="4">
        <v>1000</v>
      </c>
      <c r="F42" s="4">
        <f>1903.6-1876.4</f>
        <v>27.199999999999818</v>
      </c>
      <c r="G42" s="3">
        <v>56</v>
      </c>
      <c r="H42" s="3">
        <v>65</v>
      </c>
      <c r="I42" s="3">
        <v>1000</v>
      </c>
      <c r="J42" s="3">
        <f>AVERAGE(G42:H42)</f>
        <v>60.5</v>
      </c>
      <c r="K42">
        <f>(I42*J42)/(D42*E42)</f>
        <v>2.5744680851063828</v>
      </c>
      <c r="L42" s="35">
        <f>K42/$H$8</f>
        <v>3.0341945288753798</v>
      </c>
    </row>
    <row r="43" spans="1:12" x14ac:dyDescent="0.2">
      <c r="A43" s="4" t="s">
        <v>12</v>
      </c>
      <c r="B43">
        <v>15</v>
      </c>
      <c r="C43">
        <v>14</v>
      </c>
      <c r="D43">
        <f t="shared" ref="D43:D46" si="13">AVERAGE(B43:C43)</f>
        <v>14.5</v>
      </c>
      <c r="E43" s="4">
        <v>10000</v>
      </c>
      <c r="F43" s="4">
        <f>1898.7-1810.7</f>
        <v>88</v>
      </c>
      <c r="G43" s="3">
        <v>32</v>
      </c>
      <c r="H43" s="3">
        <v>25</v>
      </c>
      <c r="I43" s="3">
        <v>10000</v>
      </c>
      <c r="J43" s="3">
        <f t="shared" ref="J43:J46" si="14">AVERAGE(G43:H43)</f>
        <v>28.5</v>
      </c>
      <c r="K43">
        <f>(I43*J43)/(D43*E43)</f>
        <v>1.9655172413793103</v>
      </c>
      <c r="L43" s="35">
        <f t="shared" ref="L43:L46" si="15">K43/$H$8</f>
        <v>2.3165024630541868</v>
      </c>
    </row>
    <row r="44" spans="1:12" x14ac:dyDescent="0.2">
      <c r="A44" s="4" t="s">
        <v>9</v>
      </c>
      <c r="B44">
        <v>11</v>
      </c>
      <c r="C44">
        <v>11</v>
      </c>
      <c r="D44">
        <f t="shared" si="13"/>
        <v>11</v>
      </c>
      <c r="E44" s="4">
        <v>10000</v>
      </c>
      <c r="F44" s="4">
        <f>1843.6-1816.2</f>
        <v>27.399999999999864</v>
      </c>
      <c r="G44" s="3">
        <v>23</v>
      </c>
      <c r="H44" s="3">
        <v>15</v>
      </c>
      <c r="I44" s="3">
        <v>10000</v>
      </c>
      <c r="J44" s="3">
        <f t="shared" si="14"/>
        <v>19</v>
      </c>
      <c r="K44">
        <f>(I44*J44)/(D44*E44)</f>
        <v>1.7272727272727273</v>
      </c>
      <c r="L44" s="35">
        <f t="shared" si="15"/>
        <v>2.0357142857142856</v>
      </c>
    </row>
    <row r="45" spans="1:12" x14ac:dyDescent="0.2">
      <c r="A45" s="4" t="s">
        <v>14</v>
      </c>
      <c r="B45">
        <v>14</v>
      </c>
      <c r="C45">
        <v>14</v>
      </c>
      <c r="D45">
        <f t="shared" si="13"/>
        <v>14</v>
      </c>
      <c r="E45" s="4">
        <v>1000</v>
      </c>
      <c r="F45" s="4">
        <f>2040.3-1958</f>
        <v>82.299999999999955</v>
      </c>
      <c r="G45" s="3">
        <v>14</v>
      </c>
      <c r="H45" s="3">
        <v>14</v>
      </c>
      <c r="I45" s="3">
        <v>1000</v>
      </c>
      <c r="J45" s="3">
        <f t="shared" si="14"/>
        <v>14</v>
      </c>
      <c r="K45">
        <f>(I45*J45)/(D45*E45)</f>
        <v>1</v>
      </c>
      <c r="L45" s="35">
        <f t="shared" si="15"/>
        <v>1.1785714285714286</v>
      </c>
    </row>
    <row r="46" spans="1:12" ht="17" x14ac:dyDescent="0.2">
      <c r="A46" s="6" t="s">
        <v>13</v>
      </c>
      <c r="B46" s="7">
        <v>13</v>
      </c>
      <c r="C46" s="7">
        <v>22</v>
      </c>
      <c r="D46">
        <f t="shared" si="13"/>
        <v>17.5</v>
      </c>
      <c r="E46" s="6">
        <v>10</v>
      </c>
      <c r="F46" s="6">
        <f>1971-1820.1</f>
        <v>150.90000000000009</v>
      </c>
      <c r="G46" s="3">
        <v>38</v>
      </c>
      <c r="H46" s="3">
        <v>45</v>
      </c>
      <c r="I46" s="3">
        <v>10</v>
      </c>
      <c r="J46" s="3">
        <f t="shared" si="14"/>
        <v>41.5</v>
      </c>
      <c r="K46">
        <f>(I46*J46)/(D46*E46)</f>
        <v>2.3714285714285714</v>
      </c>
      <c r="L46" s="35">
        <f t="shared" si="15"/>
        <v>2.7948979591836736</v>
      </c>
    </row>
  </sheetData>
  <mergeCells count="23">
    <mergeCell ref="B34:C34"/>
    <mergeCell ref="G34:H34"/>
    <mergeCell ref="B41:C41"/>
    <mergeCell ref="G41:H41"/>
    <mergeCell ref="B13:C13"/>
    <mergeCell ref="G13:H13"/>
    <mergeCell ref="B20:C20"/>
    <mergeCell ref="G20:H20"/>
    <mergeCell ref="B27:C27"/>
    <mergeCell ref="G27:H27"/>
    <mergeCell ref="I2:I4"/>
    <mergeCell ref="I5:I7"/>
    <mergeCell ref="A2:A10"/>
    <mergeCell ref="B2:B4"/>
    <mergeCell ref="F2:F4"/>
    <mergeCell ref="G2:G4"/>
    <mergeCell ref="B5:B7"/>
    <mergeCell ref="F5:F7"/>
    <mergeCell ref="G5:G7"/>
    <mergeCell ref="B8:B10"/>
    <mergeCell ref="F8:F10"/>
    <mergeCell ref="G8:G10"/>
    <mergeCell ref="H8:H10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 doses</vt:lpstr>
      <vt:lpstr>indiv carriage</vt:lpstr>
      <vt:lpstr>48 48pscJdel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2024-03-25T21:28:20Z</dcterms:modified>
</cp:coreProperties>
</file>