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5/Mouse GI carriage/"/>
    </mc:Choice>
  </mc:AlternateContent>
  <xr:revisionPtr revIDLastSave="0" documentId="13_ncr:1_{2F07BAFD-18D4-E24A-BE12-01067512D000}" xr6:coauthVersionLast="47" xr6:coauthVersionMax="47" xr10:uidLastSave="{00000000-0000-0000-0000-000000000000}"/>
  <bookViews>
    <workbookView xWindow="0" yWindow="760" windowWidth="28800" windowHeight="17500" activeTab="1" xr2:uid="{05D28018-5EC7-B748-ACA7-09DD0AD3B70C}"/>
  </bookViews>
  <sheets>
    <sheet name="inoc" sheetId="8" r:id="rId1"/>
    <sheet name="indiv carriage" sheetId="5" r:id="rId2"/>
    <sheet name="weight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04" i="5" l="1"/>
  <c r="G83" i="5"/>
  <c r="F212" i="5"/>
  <c r="F205" i="5"/>
  <c r="F198" i="5"/>
  <c r="F191" i="5"/>
  <c r="F184" i="5"/>
  <c r="F176" i="5"/>
  <c r="F169" i="5"/>
  <c r="F162" i="5"/>
  <c r="F155" i="5"/>
  <c r="F148" i="5"/>
  <c r="F141" i="5"/>
  <c r="F134" i="5"/>
  <c r="F127" i="5"/>
  <c r="F120" i="5"/>
  <c r="F113" i="5"/>
  <c r="F105" i="5"/>
  <c r="F98" i="5"/>
  <c r="F91" i="5"/>
  <c r="F84" i="5"/>
  <c r="F77" i="5"/>
  <c r="F70" i="5"/>
  <c r="F63" i="5"/>
  <c r="F56" i="5"/>
  <c r="F49" i="5"/>
  <c r="F42" i="5"/>
  <c r="F34" i="5"/>
  <c r="F27" i="5"/>
  <c r="F20" i="5"/>
  <c r="F13" i="5"/>
  <c r="F6" i="5"/>
  <c r="F211" i="5"/>
  <c r="F210" i="5"/>
  <c r="F209" i="5"/>
  <c r="F204" i="5"/>
  <c r="F203" i="5"/>
  <c r="F202" i="5"/>
  <c r="F197" i="5"/>
  <c r="F196" i="5"/>
  <c r="F195" i="5"/>
  <c r="F190" i="5"/>
  <c r="F189" i="5"/>
  <c r="F188" i="5"/>
  <c r="F183" i="5"/>
  <c r="F182" i="5"/>
  <c r="F181" i="5"/>
  <c r="F175" i="5"/>
  <c r="F174" i="5"/>
  <c r="F173" i="5"/>
  <c r="F168" i="5"/>
  <c r="F167" i="5"/>
  <c r="F166" i="5"/>
  <c r="F161" i="5"/>
  <c r="F160" i="5"/>
  <c r="F159" i="5"/>
  <c r="F154" i="5"/>
  <c r="F153" i="5"/>
  <c r="F152" i="5"/>
  <c r="F147" i="5"/>
  <c r="F146" i="5"/>
  <c r="F145" i="5"/>
  <c r="F140" i="5"/>
  <c r="F139" i="5"/>
  <c r="F138" i="5"/>
  <c r="F133" i="5"/>
  <c r="F132" i="5"/>
  <c r="F131" i="5"/>
  <c r="F126" i="5"/>
  <c r="F125" i="5"/>
  <c r="F124" i="5"/>
  <c r="F119" i="5"/>
  <c r="F118" i="5"/>
  <c r="F117" i="5"/>
  <c r="F112" i="5"/>
  <c r="F111" i="5"/>
  <c r="F110" i="5"/>
  <c r="F104" i="5"/>
  <c r="F103" i="5"/>
  <c r="F102" i="5"/>
  <c r="F97" i="5"/>
  <c r="F96" i="5"/>
  <c r="F95" i="5"/>
  <c r="F90" i="5"/>
  <c r="F89" i="5"/>
  <c r="F88" i="5"/>
  <c r="F83" i="5"/>
  <c r="F82" i="5"/>
  <c r="F81" i="5"/>
  <c r="F76" i="5"/>
  <c r="F75" i="5"/>
  <c r="F74" i="5"/>
  <c r="F69" i="5"/>
  <c r="F68" i="5"/>
  <c r="F67" i="5"/>
  <c r="F62" i="5"/>
  <c r="F61" i="5"/>
  <c r="F60" i="5"/>
  <c r="F55" i="5"/>
  <c r="F54" i="5"/>
  <c r="F53" i="5"/>
  <c r="F47" i="5"/>
  <c r="F46" i="5"/>
  <c r="F48" i="5"/>
  <c r="F41" i="5"/>
  <c r="F40" i="5"/>
  <c r="F39" i="5"/>
  <c r="F33" i="5"/>
  <c r="F32" i="5"/>
  <c r="F31" i="5"/>
  <c r="F26" i="5"/>
  <c r="F25" i="5"/>
  <c r="F24" i="5"/>
  <c r="F19" i="5"/>
  <c r="F18" i="5"/>
  <c r="F17" i="5"/>
  <c r="F12" i="5"/>
  <c r="F11" i="5"/>
  <c r="F10" i="5"/>
  <c r="F5" i="5"/>
  <c r="F4" i="5"/>
  <c r="F3" i="5"/>
  <c r="L40" i="9"/>
  <c r="L43" i="9"/>
  <c r="L42" i="9"/>
  <c r="L41" i="9"/>
  <c r="L39" i="9"/>
  <c r="F208" i="5"/>
  <c r="F201" i="5"/>
  <c r="F194" i="5"/>
  <c r="F187" i="5"/>
  <c r="F180" i="5"/>
  <c r="F172" i="5"/>
  <c r="F165" i="5"/>
  <c r="F158" i="5"/>
  <c r="F151" i="5"/>
  <c r="F144" i="5"/>
  <c r="F137" i="5"/>
  <c r="F130" i="5"/>
  <c r="F123" i="5"/>
  <c r="F116" i="5"/>
  <c r="F109" i="5"/>
  <c r="F101" i="5"/>
  <c r="F94" i="5"/>
  <c r="F87" i="5"/>
  <c r="F80" i="5"/>
  <c r="F73" i="5"/>
  <c r="F66" i="5"/>
  <c r="F59" i="5"/>
  <c r="F52" i="5"/>
  <c r="F45" i="5"/>
  <c r="F38" i="5"/>
  <c r="F30" i="5"/>
  <c r="F23" i="5"/>
  <c r="F16" i="5"/>
  <c r="F9" i="5"/>
  <c r="F2" i="5"/>
  <c r="D212" i="5"/>
  <c r="G212" i="5" s="1"/>
  <c r="D211" i="5"/>
  <c r="G211" i="5" s="1"/>
  <c r="D210" i="5"/>
  <c r="G210" i="5" s="1"/>
  <c r="D209" i="5"/>
  <c r="G209" i="5" s="1"/>
  <c r="D208" i="5"/>
  <c r="G208" i="5" s="1"/>
  <c r="D205" i="5"/>
  <c r="G205" i="5" s="1"/>
  <c r="D204" i="5"/>
  <c r="G204" i="5" s="1"/>
  <c r="D203" i="5"/>
  <c r="G203" i="5" s="1"/>
  <c r="D202" i="5"/>
  <c r="G202" i="5" s="1"/>
  <c r="D201" i="5"/>
  <c r="G201" i="5" s="1"/>
  <c r="D198" i="5"/>
  <c r="G198" i="5" s="1"/>
  <c r="D197" i="5"/>
  <c r="G197" i="5" s="1"/>
  <c r="D196" i="5"/>
  <c r="G196" i="5" s="1"/>
  <c r="D195" i="5"/>
  <c r="G195" i="5" s="1"/>
  <c r="D194" i="5"/>
  <c r="G194" i="5" s="1"/>
  <c r="D191" i="5"/>
  <c r="G191" i="5" s="1"/>
  <c r="D190" i="5"/>
  <c r="G190" i="5" s="1"/>
  <c r="D189" i="5"/>
  <c r="G189" i="5" s="1"/>
  <c r="D188" i="5"/>
  <c r="G188" i="5" s="1"/>
  <c r="D187" i="5"/>
  <c r="G187" i="5" s="1"/>
  <c r="D184" i="5"/>
  <c r="G184" i="5" s="1"/>
  <c r="D183" i="5"/>
  <c r="G183" i="5" s="1"/>
  <c r="D182" i="5"/>
  <c r="G182" i="5" s="1"/>
  <c r="D181" i="5"/>
  <c r="G181" i="5" s="1"/>
  <c r="D180" i="5"/>
  <c r="G180" i="5" s="1"/>
  <c r="D176" i="5"/>
  <c r="G176" i="5" s="1"/>
  <c r="D175" i="5"/>
  <c r="G175" i="5" s="1"/>
  <c r="D174" i="5"/>
  <c r="G174" i="5" s="1"/>
  <c r="D173" i="5"/>
  <c r="G173" i="5" s="1"/>
  <c r="D172" i="5"/>
  <c r="G172" i="5" s="1"/>
  <c r="D169" i="5"/>
  <c r="G169" i="5" s="1"/>
  <c r="D168" i="5"/>
  <c r="G168" i="5" s="1"/>
  <c r="D167" i="5"/>
  <c r="G167" i="5" s="1"/>
  <c r="D166" i="5"/>
  <c r="G166" i="5" s="1"/>
  <c r="D165" i="5"/>
  <c r="G165" i="5" s="1"/>
  <c r="D162" i="5"/>
  <c r="G162" i="5" s="1"/>
  <c r="D161" i="5"/>
  <c r="G161" i="5" s="1"/>
  <c r="D160" i="5"/>
  <c r="G160" i="5" s="1"/>
  <c r="D159" i="5"/>
  <c r="G159" i="5" s="1"/>
  <c r="D158" i="5"/>
  <c r="G158" i="5" s="1"/>
  <c r="D155" i="5"/>
  <c r="G155" i="5" s="1"/>
  <c r="D154" i="5"/>
  <c r="G154" i="5" s="1"/>
  <c r="D153" i="5"/>
  <c r="G153" i="5" s="1"/>
  <c r="D152" i="5"/>
  <c r="G152" i="5" s="1"/>
  <c r="D151" i="5"/>
  <c r="G151" i="5" s="1"/>
  <c r="D148" i="5"/>
  <c r="G148" i="5" s="1"/>
  <c r="D147" i="5"/>
  <c r="G147" i="5" s="1"/>
  <c r="D146" i="5"/>
  <c r="G146" i="5" s="1"/>
  <c r="D145" i="5"/>
  <c r="G145" i="5" s="1"/>
  <c r="D144" i="5"/>
  <c r="G144" i="5" s="1"/>
  <c r="D141" i="5"/>
  <c r="G141" i="5" s="1"/>
  <c r="D140" i="5"/>
  <c r="G140" i="5" s="1"/>
  <c r="D134" i="5"/>
  <c r="G134" i="5" s="1"/>
  <c r="D133" i="5"/>
  <c r="G133" i="5" s="1"/>
  <c r="D127" i="5"/>
  <c r="G127" i="5" s="1"/>
  <c r="D126" i="5"/>
  <c r="G126" i="5" s="1"/>
  <c r="D120" i="5"/>
  <c r="G120" i="5" s="1"/>
  <c r="D119" i="5"/>
  <c r="G119" i="5" s="1"/>
  <c r="D113" i="5"/>
  <c r="G113" i="5" s="1"/>
  <c r="D112" i="5"/>
  <c r="D34" i="5"/>
  <c r="G34" i="5" s="1"/>
  <c r="D33" i="5"/>
  <c r="G33" i="5" s="1"/>
  <c r="D32" i="5"/>
  <c r="G32" i="5" s="1"/>
  <c r="D31" i="5"/>
  <c r="G31" i="5" s="1"/>
  <c r="D30" i="5"/>
  <c r="G30" i="5" s="1"/>
  <c r="D27" i="5"/>
  <c r="G27" i="5" s="1"/>
  <c r="D26" i="5"/>
  <c r="G26" i="5" s="1"/>
  <c r="D25" i="5"/>
  <c r="D24" i="5"/>
  <c r="G24" i="5" s="1"/>
  <c r="D23" i="5"/>
  <c r="G23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G12" i="5" s="1"/>
  <c r="D11" i="5"/>
  <c r="G11" i="5" s="1"/>
  <c r="D10" i="5"/>
  <c r="G10" i="5" s="1"/>
  <c r="D9" i="5"/>
  <c r="G9" i="5" s="1"/>
  <c r="D6" i="5"/>
  <c r="G6" i="5" s="1"/>
  <c r="D5" i="5"/>
  <c r="G5" i="5" s="1"/>
  <c r="D4" i="5"/>
  <c r="G4" i="5" s="1"/>
  <c r="D3" i="5"/>
  <c r="G3" i="5" s="1"/>
  <c r="D2" i="5"/>
  <c r="G2" i="5" s="1"/>
  <c r="D70" i="5"/>
  <c r="G70" i="5" s="1"/>
  <c r="D69" i="5"/>
  <c r="G69" i="5" s="1"/>
  <c r="D63" i="5"/>
  <c r="G63" i="5" s="1"/>
  <c r="D62" i="5"/>
  <c r="G62" i="5" s="1"/>
  <c r="D56" i="5"/>
  <c r="G56" i="5" s="1"/>
  <c r="D55" i="5"/>
  <c r="G55" i="5" s="1"/>
  <c r="D49" i="5"/>
  <c r="G49" i="5" s="1"/>
  <c r="D48" i="5"/>
  <c r="G48" i="5" s="1"/>
  <c r="D41" i="5"/>
  <c r="G41" i="5" s="1"/>
  <c r="D42" i="5"/>
  <c r="G42" i="5" s="1"/>
  <c r="D61" i="9"/>
  <c r="E57" i="9"/>
  <c r="C56" i="9"/>
  <c r="E46" i="9"/>
  <c r="D52" i="9"/>
  <c r="N53" i="9"/>
  <c r="M53" i="9"/>
  <c r="L53" i="9"/>
  <c r="K53" i="9"/>
  <c r="J53" i="9"/>
  <c r="I53" i="9"/>
  <c r="H53" i="9"/>
  <c r="G53" i="9"/>
  <c r="F53" i="9"/>
  <c r="E53" i="9"/>
  <c r="D53" i="9"/>
  <c r="C53" i="9"/>
  <c r="N52" i="9"/>
  <c r="M52" i="9"/>
  <c r="L52" i="9"/>
  <c r="K52" i="9"/>
  <c r="J52" i="9"/>
  <c r="I52" i="9"/>
  <c r="H52" i="9"/>
  <c r="G52" i="9"/>
  <c r="F52" i="9"/>
  <c r="E52" i="9"/>
  <c r="C52" i="9"/>
  <c r="N51" i="9"/>
  <c r="M51" i="9"/>
  <c r="L51" i="9"/>
  <c r="K51" i="9"/>
  <c r="J51" i="9"/>
  <c r="I51" i="9"/>
  <c r="H51" i="9"/>
  <c r="G51" i="9"/>
  <c r="F51" i="9"/>
  <c r="E51" i="9"/>
  <c r="D51" i="9"/>
  <c r="C51" i="9"/>
  <c r="N50" i="9"/>
  <c r="M50" i="9"/>
  <c r="L50" i="9"/>
  <c r="K50" i="9"/>
  <c r="J50" i="9"/>
  <c r="I50" i="9"/>
  <c r="H50" i="9"/>
  <c r="G50" i="9"/>
  <c r="F50" i="9"/>
  <c r="E50" i="9"/>
  <c r="D50" i="9"/>
  <c r="C50" i="9"/>
  <c r="N49" i="9"/>
  <c r="M49" i="9"/>
  <c r="L49" i="9"/>
  <c r="K49" i="9"/>
  <c r="J49" i="9"/>
  <c r="I49" i="9"/>
  <c r="H49" i="9"/>
  <c r="G49" i="9"/>
  <c r="F49" i="9"/>
  <c r="E49" i="9"/>
  <c r="D49" i="9"/>
  <c r="C49" i="9"/>
  <c r="D46" i="9"/>
  <c r="N48" i="9"/>
  <c r="M48" i="9"/>
  <c r="L48" i="9"/>
  <c r="K48" i="9"/>
  <c r="J48" i="9"/>
  <c r="I48" i="9"/>
  <c r="H48" i="9"/>
  <c r="G48" i="9"/>
  <c r="F48" i="9"/>
  <c r="E48" i="9"/>
  <c r="D48" i="9"/>
  <c r="C48" i="9"/>
  <c r="N47" i="9"/>
  <c r="M47" i="9"/>
  <c r="L47" i="9"/>
  <c r="K47" i="9"/>
  <c r="J47" i="9"/>
  <c r="I47" i="9"/>
  <c r="H47" i="9"/>
  <c r="G47" i="9"/>
  <c r="F47" i="9"/>
  <c r="E47" i="9"/>
  <c r="D47" i="9"/>
  <c r="C47" i="9"/>
  <c r="N46" i="9"/>
  <c r="M46" i="9"/>
  <c r="L46" i="9"/>
  <c r="K46" i="9"/>
  <c r="J46" i="9"/>
  <c r="I46" i="9"/>
  <c r="H46" i="9"/>
  <c r="G46" i="9"/>
  <c r="F46" i="9"/>
  <c r="C46" i="9"/>
  <c r="N45" i="9"/>
  <c r="M45" i="9"/>
  <c r="L45" i="9"/>
  <c r="K45" i="9"/>
  <c r="J45" i="9"/>
  <c r="I45" i="9"/>
  <c r="H45" i="9"/>
  <c r="G45" i="9"/>
  <c r="F45" i="9"/>
  <c r="E45" i="9"/>
  <c r="D45" i="9"/>
  <c r="C45" i="9"/>
  <c r="N44" i="9"/>
  <c r="M44" i="9"/>
  <c r="L44" i="9"/>
  <c r="K44" i="9"/>
  <c r="J44" i="9"/>
  <c r="I44" i="9"/>
  <c r="H44" i="9"/>
  <c r="G44" i="9"/>
  <c r="F44" i="9"/>
  <c r="E44" i="9"/>
  <c r="D44" i="9"/>
  <c r="C44" i="9"/>
  <c r="D40" i="9"/>
  <c r="E36" i="9"/>
  <c r="C36" i="9"/>
  <c r="N38" i="9"/>
  <c r="M38" i="9"/>
  <c r="L38" i="9"/>
  <c r="K38" i="9"/>
  <c r="J38" i="9"/>
  <c r="I38" i="9"/>
  <c r="H38" i="9"/>
  <c r="G38" i="9"/>
  <c r="F38" i="9"/>
  <c r="E38" i="9"/>
  <c r="D38" i="9"/>
  <c r="C38" i="9"/>
  <c r="N37" i="9"/>
  <c r="M37" i="9"/>
  <c r="L37" i="9"/>
  <c r="K37" i="9"/>
  <c r="J37" i="9"/>
  <c r="I37" i="9"/>
  <c r="H37" i="9"/>
  <c r="G37" i="9"/>
  <c r="F37" i="9"/>
  <c r="E37" i="9"/>
  <c r="D37" i="9"/>
  <c r="C37" i="9"/>
  <c r="N36" i="9"/>
  <c r="M36" i="9"/>
  <c r="L36" i="9"/>
  <c r="K36" i="9"/>
  <c r="J36" i="9"/>
  <c r="I36" i="9"/>
  <c r="H36" i="9"/>
  <c r="G36" i="9"/>
  <c r="F36" i="9"/>
  <c r="D36" i="9"/>
  <c r="N35" i="9"/>
  <c r="M35" i="9"/>
  <c r="L35" i="9"/>
  <c r="K35" i="9"/>
  <c r="J35" i="9"/>
  <c r="I35" i="9"/>
  <c r="H35" i="9"/>
  <c r="G35" i="9"/>
  <c r="F35" i="9"/>
  <c r="E35" i="9"/>
  <c r="D35" i="9"/>
  <c r="C35" i="9"/>
  <c r="N34" i="9"/>
  <c r="M34" i="9"/>
  <c r="L34" i="9"/>
  <c r="K34" i="9"/>
  <c r="J34" i="9"/>
  <c r="I34" i="9"/>
  <c r="H34" i="9"/>
  <c r="G34" i="9"/>
  <c r="F34" i="9"/>
  <c r="E34" i="9"/>
  <c r="D34" i="9"/>
  <c r="C34" i="9"/>
  <c r="C39" i="9"/>
  <c r="K60" i="9"/>
  <c r="E40" i="9"/>
  <c r="F40" i="9"/>
  <c r="G40" i="9"/>
  <c r="H40" i="9"/>
  <c r="I40" i="9"/>
  <c r="J40" i="9"/>
  <c r="K40" i="9"/>
  <c r="M40" i="9"/>
  <c r="N40" i="9"/>
  <c r="D41" i="9"/>
  <c r="E41" i="9"/>
  <c r="F41" i="9"/>
  <c r="G41" i="9"/>
  <c r="H41" i="9"/>
  <c r="I41" i="9"/>
  <c r="J41" i="9"/>
  <c r="K41" i="9"/>
  <c r="M41" i="9"/>
  <c r="N41" i="9"/>
  <c r="D42" i="9"/>
  <c r="E42" i="9"/>
  <c r="F42" i="9"/>
  <c r="G42" i="9"/>
  <c r="H42" i="9"/>
  <c r="I42" i="9"/>
  <c r="J42" i="9"/>
  <c r="K42" i="9"/>
  <c r="M42" i="9"/>
  <c r="N42" i="9"/>
  <c r="D43" i="9"/>
  <c r="E43" i="9"/>
  <c r="F43" i="9"/>
  <c r="G43" i="9"/>
  <c r="H43" i="9"/>
  <c r="I43" i="9"/>
  <c r="J43" i="9"/>
  <c r="K43" i="9"/>
  <c r="M43" i="9"/>
  <c r="N43" i="9"/>
  <c r="D54" i="9"/>
  <c r="E54" i="9"/>
  <c r="F54" i="9"/>
  <c r="G54" i="9"/>
  <c r="H54" i="9"/>
  <c r="I54" i="9"/>
  <c r="J54" i="9"/>
  <c r="K54" i="9"/>
  <c r="L54" i="9"/>
  <c r="M54" i="9"/>
  <c r="N54" i="9"/>
  <c r="D55" i="9"/>
  <c r="E55" i="9"/>
  <c r="F55" i="9"/>
  <c r="G55" i="9"/>
  <c r="H55" i="9"/>
  <c r="I55" i="9"/>
  <c r="J55" i="9"/>
  <c r="K55" i="9"/>
  <c r="L55" i="9"/>
  <c r="M55" i="9"/>
  <c r="N55" i="9"/>
  <c r="D56" i="9"/>
  <c r="E56" i="9"/>
  <c r="F56" i="9"/>
  <c r="G56" i="9"/>
  <c r="H56" i="9"/>
  <c r="I56" i="9"/>
  <c r="J56" i="9"/>
  <c r="K56" i="9"/>
  <c r="L56" i="9"/>
  <c r="M56" i="9"/>
  <c r="N56" i="9"/>
  <c r="D57" i="9"/>
  <c r="F57" i="9"/>
  <c r="G57" i="9"/>
  <c r="H57" i="9"/>
  <c r="I57" i="9"/>
  <c r="J57" i="9"/>
  <c r="K57" i="9"/>
  <c r="L57" i="9"/>
  <c r="M57" i="9"/>
  <c r="N57" i="9"/>
  <c r="D58" i="9"/>
  <c r="E58" i="9"/>
  <c r="F58" i="9"/>
  <c r="G58" i="9"/>
  <c r="H58" i="9"/>
  <c r="I58" i="9"/>
  <c r="J58" i="9"/>
  <c r="K58" i="9"/>
  <c r="L58" i="9"/>
  <c r="M58" i="9"/>
  <c r="N58" i="9"/>
  <c r="D59" i="9"/>
  <c r="E59" i="9"/>
  <c r="F59" i="9"/>
  <c r="G59" i="9"/>
  <c r="H59" i="9"/>
  <c r="I59" i="9"/>
  <c r="J59" i="9"/>
  <c r="K59" i="9"/>
  <c r="L59" i="9"/>
  <c r="M59" i="9"/>
  <c r="N59" i="9"/>
  <c r="D60" i="9"/>
  <c r="E60" i="9"/>
  <c r="F60" i="9"/>
  <c r="G60" i="9"/>
  <c r="H60" i="9"/>
  <c r="I60" i="9"/>
  <c r="J60" i="9"/>
  <c r="L60" i="9"/>
  <c r="M60" i="9"/>
  <c r="N60" i="9"/>
  <c r="E61" i="9"/>
  <c r="F61" i="9"/>
  <c r="G61" i="9"/>
  <c r="H61" i="9"/>
  <c r="I61" i="9"/>
  <c r="J61" i="9"/>
  <c r="K61" i="9"/>
  <c r="L61" i="9"/>
  <c r="M61" i="9"/>
  <c r="N61" i="9"/>
  <c r="D62" i="9"/>
  <c r="E62" i="9"/>
  <c r="F62" i="9"/>
  <c r="G62" i="9"/>
  <c r="H62" i="9"/>
  <c r="I62" i="9"/>
  <c r="J62" i="9"/>
  <c r="K62" i="9"/>
  <c r="L62" i="9"/>
  <c r="M62" i="9"/>
  <c r="N62" i="9"/>
  <c r="D63" i="9"/>
  <c r="E63" i="9"/>
  <c r="F63" i="9"/>
  <c r="G63" i="9"/>
  <c r="H63" i="9"/>
  <c r="I63" i="9"/>
  <c r="J63" i="9"/>
  <c r="K63" i="9"/>
  <c r="L63" i="9"/>
  <c r="M63" i="9"/>
  <c r="N63" i="9"/>
  <c r="C40" i="9"/>
  <c r="C41" i="9"/>
  <c r="C42" i="9"/>
  <c r="C43" i="9"/>
  <c r="C54" i="9"/>
  <c r="C55" i="9"/>
  <c r="C57" i="9"/>
  <c r="C58" i="9"/>
  <c r="C59" i="9"/>
  <c r="C60" i="9"/>
  <c r="C61" i="9"/>
  <c r="C62" i="9"/>
  <c r="C63" i="9"/>
  <c r="D39" i="9"/>
  <c r="E39" i="9"/>
  <c r="F39" i="9"/>
  <c r="G39" i="9"/>
  <c r="H39" i="9"/>
  <c r="I39" i="9"/>
  <c r="J39" i="9"/>
  <c r="K39" i="9"/>
  <c r="M39" i="9"/>
  <c r="N39" i="9"/>
  <c r="D139" i="5"/>
  <c r="D138" i="5"/>
  <c r="D137" i="5"/>
  <c r="D132" i="5"/>
  <c r="D131" i="5"/>
  <c r="D130" i="5"/>
  <c r="D125" i="5"/>
  <c r="D124" i="5"/>
  <c r="D123" i="5"/>
  <c r="D118" i="5"/>
  <c r="D117" i="5"/>
  <c r="D116" i="5"/>
  <c r="D111" i="5"/>
  <c r="D110" i="5"/>
  <c r="D109" i="5"/>
  <c r="D105" i="5"/>
  <c r="D104" i="5"/>
  <c r="D103" i="5"/>
  <c r="D102" i="5"/>
  <c r="D101" i="5"/>
  <c r="D98" i="5"/>
  <c r="D97" i="5"/>
  <c r="D96" i="5"/>
  <c r="D95" i="5"/>
  <c r="D94" i="5"/>
  <c r="D91" i="5"/>
  <c r="D90" i="5"/>
  <c r="D89" i="5"/>
  <c r="D88" i="5"/>
  <c r="D87" i="5"/>
  <c r="D84" i="5"/>
  <c r="D83" i="5"/>
  <c r="D82" i="5"/>
  <c r="D81" i="5"/>
  <c r="D80" i="5"/>
  <c r="D77" i="5"/>
  <c r="D76" i="5"/>
  <c r="D75" i="5"/>
  <c r="D74" i="5"/>
  <c r="D73" i="5"/>
  <c r="D68" i="5"/>
  <c r="D67" i="5"/>
  <c r="D66" i="5"/>
  <c r="D61" i="5"/>
  <c r="D60" i="5"/>
  <c r="D59" i="5"/>
  <c r="D54" i="5"/>
  <c r="D53" i="5"/>
  <c r="D52" i="5"/>
  <c r="D47" i="5"/>
  <c r="D46" i="5"/>
  <c r="D45" i="5"/>
  <c r="D40" i="5"/>
  <c r="E3" i="8"/>
  <c r="E2" i="8"/>
  <c r="F2" i="8" s="1"/>
  <c r="G2" i="8" s="1"/>
  <c r="G112" i="5" l="1"/>
  <c r="G25" i="5"/>
  <c r="G95" i="5"/>
  <c r="G94" i="5"/>
  <c r="G96" i="5"/>
  <c r="G97" i="5"/>
  <c r="G77" i="5"/>
  <c r="G60" i="5"/>
  <c r="G68" i="5"/>
  <c r="G76" i="5"/>
  <c r="G52" i="5"/>
  <c r="G84" i="5"/>
  <c r="G116" i="5"/>
  <c r="G124" i="5"/>
  <c r="G132" i="5"/>
  <c r="G90" i="5"/>
  <c r="G88" i="5"/>
  <c r="G98" i="5"/>
  <c r="G66" i="5"/>
  <c r="G82" i="5"/>
  <c r="G111" i="5"/>
  <c r="G123" i="5"/>
  <c r="G139" i="5"/>
  <c r="G89" i="5"/>
  <c r="G105" i="5"/>
  <c r="G45" i="5"/>
  <c r="G53" i="5"/>
  <c r="G61" i="5"/>
  <c r="G47" i="5"/>
  <c r="G59" i="5"/>
  <c r="G67" i="5"/>
  <c r="G75" i="5"/>
  <c r="G73" i="5"/>
  <c r="G80" i="5"/>
  <c r="G117" i="5"/>
  <c r="G137" i="5"/>
  <c r="G101" i="5"/>
  <c r="G102" i="5"/>
  <c r="G109" i="5"/>
  <c r="G125" i="5"/>
  <c r="G81" i="5"/>
  <c r="G87" i="5"/>
  <c r="G91" i="5"/>
  <c r="G103" i="5"/>
  <c r="G110" i="5"/>
  <c r="G118" i="5"/>
  <c r="G130" i="5"/>
  <c r="G131" i="5"/>
  <c r="G138" i="5"/>
  <c r="G74" i="5"/>
  <c r="G54" i="5"/>
  <c r="G46" i="5"/>
  <c r="G40" i="5"/>
  <c r="D39" i="5"/>
  <c r="G39" i="5" s="1"/>
  <c r="D38" i="5"/>
  <c r="G38" i="5" l="1"/>
</calcChain>
</file>

<file path=xl/sharedStrings.xml><?xml version="1.0" encoding="utf-8"?>
<sst xmlns="http://schemas.openxmlformats.org/spreadsheetml/2006/main" count="445" uniqueCount="99">
  <si>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</si>
  <si>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</si>
  <si>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</si>
  <si>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</si>
  <si>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</si>
  <si>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</si>
  <si>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</si>
  <si>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</si>
  <si>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</si>
  <si>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</si>
  <si>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</si>
  <si>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</si>
  <si>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</si>
  <si>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</si>
  <si>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</si>
  <si>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OD600 reached</t>
  </si>
  <si>
    <t>BL048 - LBirg5 plates</t>
  </si>
  <si>
    <r>
      <t>PBS + PA mouse 1 - 10^7.2</t>
    </r>
    <r>
      <rPr>
        <b/>
        <sz val="11"/>
        <color theme="1"/>
        <rFont val="Calibri (Body)"/>
      </rPr>
      <t xml:space="preserve"> BL048</t>
    </r>
  </si>
  <si>
    <r>
      <t>PBS + PA mouse 2 - 10^7.2</t>
    </r>
    <r>
      <rPr>
        <b/>
        <sz val="11"/>
        <color theme="1"/>
        <rFont val="Calibri (Body)"/>
      </rPr>
      <t xml:space="preserve"> BL048</t>
    </r>
  </si>
  <si>
    <r>
      <t>PBS + PA mouse 3 - 10^7.2</t>
    </r>
    <r>
      <rPr>
        <b/>
        <sz val="11"/>
        <color theme="1"/>
        <rFont val="Calibri (Body)"/>
      </rPr>
      <t xml:space="preserve"> BL048</t>
    </r>
  </si>
  <si>
    <r>
      <t>PBS + PA mouse 4 - 10^7.2</t>
    </r>
    <r>
      <rPr>
        <b/>
        <sz val="11"/>
        <color theme="1"/>
        <rFont val="Calibri (Body)"/>
      </rPr>
      <t xml:space="preserve"> BL048</t>
    </r>
  </si>
  <si>
    <r>
      <t>PBS + PA mouse 5 - 10^7.2</t>
    </r>
    <r>
      <rPr>
        <b/>
        <sz val="11"/>
        <color theme="1"/>
        <rFont val="Calibri (Body)"/>
      </rPr>
      <t xml:space="preserve"> BL048</t>
    </r>
  </si>
  <si>
    <r>
      <t>vanco + PA mouse 1 - 10^7.2</t>
    </r>
    <r>
      <rPr>
        <b/>
        <sz val="11"/>
        <color theme="1"/>
        <rFont val="Calibri (Body)"/>
      </rPr>
      <t xml:space="preserve"> BL048</t>
    </r>
  </si>
  <si>
    <r>
      <t>vanco + PA mouse 2 - 10^7.2</t>
    </r>
    <r>
      <rPr>
        <b/>
        <sz val="11"/>
        <color theme="1"/>
        <rFont val="Calibri (Body)"/>
      </rPr>
      <t xml:space="preserve"> BL048</t>
    </r>
  </si>
  <si>
    <r>
      <t>vanco + PA mouse 3 - 10^7.2</t>
    </r>
    <r>
      <rPr>
        <b/>
        <sz val="11"/>
        <color theme="1"/>
        <rFont val="Calibri (Body)"/>
      </rPr>
      <t xml:space="preserve"> BL048</t>
    </r>
  </si>
  <si>
    <r>
      <t>vanco + PA mouse 4 - 10^7.2</t>
    </r>
    <r>
      <rPr>
        <b/>
        <sz val="11"/>
        <color theme="1"/>
        <rFont val="Calibri (Body)"/>
      </rPr>
      <t xml:space="preserve"> BL048</t>
    </r>
  </si>
  <si>
    <r>
      <t>vanco + PA mouse 5 - 10^7.2</t>
    </r>
    <r>
      <rPr>
        <b/>
        <sz val="11"/>
        <color theme="1"/>
        <rFont val="Calibri (Body)"/>
      </rPr>
      <t xml:space="preserve"> BL048</t>
    </r>
  </si>
  <si>
    <t>Weight</t>
  </si>
  <si>
    <t>D-4</t>
  </si>
  <si>
    <t>D-3</t>
  </si>
  <si>
    <t>D-2</t>
  </si>
  <si>
    <t>D-1</t>
  </si>
  <si>
    <t>D0</t>
  </si>
  <si>
    <t>D1</t>
  </si>
  <si>
    <t>D2</t>
  </si>
  <si>
    <t>D3</t>
  </si>
  <si>
    <t>D5</t>
  </si>
  <si>
    <t>D7</t>
  </si>
  <si>
    <t>D10</t>
  </si>
  <si>
    <t>D14</t>
  </si>
  <si>
    <t>PBS + PA 1</t>
  </si>
  <si>
    <t>PBS + PA 2</t>
  </si>
  <si>
    <t>PBS + PA 3</t>
  </si>
  <si>
    <t>PBS + PA 4</t>
  </si>
  <si>
    <t>PBS + PA 5</t>
  </si>
  <si>
    <t>Vanco + PA 1</t>
  </si>
  <si>
    <t>Vanco + PA 2</t>
  </si>
  <si>
    <t>Vanco + PA 3</t>
  </si>
  <si>
    <t>Vanco + PA 4</t>
  </si>
  <si>
    <t>Vanco + PA 5</t>
  </si>
  <si>
    <t>Vanco + Mock 1</t>
  </si>
  <si>
    <t>Vanco + Mock 2</t>
  </si>
  <si>
    <t>Vanco + Mock 3</t>
  </si>
  <si>
    <t>Vanco + Mock 4</t>
  </si>
  <si>
    <t>Vanco + Mock 5</t>
  </si>
  <si>
    <t>D12</t>
  </si>
  <si>
    <t xml:space="preserve">%weight change </t>
  </si>
  <si>
    <t>H20 + PA 1</t>
  </si>
  <si>
    <t>H20 + PA 2</t>
  </si>
  <si>
    <t>H20 + PA 3</t>
  </si>
  <si>
    <t>H20 + PA 4</t>
  </si>
  <si>
    <t>H20 + PA 5</t>
  </si>
  <si>
    <t>Metro + PA 1</t>
  </si>
  <si>
    <t>Metro + PA 2</t>
  </si>
  <si>
    <t>Metro + PA 3</t>
  </si>
  <si>
    <t>Metro + PA 4</t>
  </si>
  <si>
    <t>Metro + PA 5</t>
  </si>
  <si>
    <t>Metro + Mock 1</t>
  </si>
  <si>
    <t>Metro + Mock 2</t>
  </si>
  <si>
    <t>Metro + Mock 3</t>
  </si>
  <si>
    <t>Metro + Mock 4</t>
  </si>
  <si>
    <t>Metro + Mock 5</t>
  </si>
  <si>
    <r>
      <t>H20 + PA mouse 1 - 10^7.2</t>
    </r>
    <r>
      <rPr>
        <b/>
        <sz val="11"/>
        <color theme="1"/>
        <rFont val="Calibri (Body)"/>
      </rPr>
      <t xml:space="preserve"> BL048</t>
    </r>
  </si>
  <si>
    <r>
      <t>H20 + PA mouse 2 - 10^7.2</t>
    </r>
    <r>
      <rPr>
        <b/>
        <sz val="11"/>
        <color theme="1"/>
        <rFont val="Calibri (Body)"/>
      </rPr>
      <t xml:space="preserve"> BL048</t>
    </r>
  </si>
  <si>
    <r>
      <t>H20 + PA mouse 3 - 10^7.2</t>
    </r>
    <r>
      <rPr>
        <b/>
        <sz val="11"/>
        <color theme="1"/>
        <rFont val="Calibri (Body)"/>
      </rPr>
      <t xml:space="preserve"> BL048</t>
    </r>
  </si>
  <si>
    <r>
      <t>H20 + PA mouse 4 - 10^7.2</t>
    </r>
    <r>
      <rPr>
        <b/>
        <sz val="11"/>
        <color theme="1"/>
        <rFont val="Calibri (Body)"/>
      </rPr>
      <t xml:space="preserve"> BL048</t>
    </r>
  </si>
  <si>
    <r>
      <t>H20 + PA mouse 5 - 10^7.2</t>
    </r>
    <r>
      <rPr>
        <b/>
        <sz val="11"/>
        <color theme="1"/>
        <rFont val="Calibri (Body)"/>
      </rPr>
      <t xml:space="preserve"> BL048</t>
    </r>
  </si>
  <si>
    <r>
      <t>Vanco + Mock mouse 1 - 10^7.2</t>
    </r>
    <r>
      <rPr>
        <b/>
        <sz val="11"/>
        <color theme="1"/>
        <rFont val="Calibri (Body)"/>
      </rPr>
      <t xml:space="preserve"> BL048</t>
    </r>
  </si>
  <si>
    <r>
      <t>Vanco + Mock mouse 2 - 10^7.2</t>
    </r>
    <r>
      <rPr>
        <b/>
        <sz val="11"/>
        <color theme="1"/>
        <rFont val="Calibri (Body)"/>
      </rPr>
      <t xml:space="preserve"> BL048</t>
    </r>
  </si>
  <si>
    <r>
      <t>Vanco + Mock mouse 3 - 10^7.2</t>
    </r>
    <r>
      <rPr>
        <b/>
        <sz val="11"/>
        <color theme="1"/>
        <rFont val="Calibri (Body)"/>
      </rPr>
      <t xml:space="preserve"> BL048</t>
    </r>
  </si>
  <si>
    <r>
      <t>Vanco + Mock mouse 4 - 10^7.2</t>
    </r>
    <r>
      <rPr>
        <b/>
        <sz val="11"/>
        <color theme="1"/>
        <rFont val="Calibri (Body)"/>
      </rPr>
      <t xml:space="preserve"> BL048</t>
    </r>
  </si>
  <si>
    <r>
      <t>Vanco + Mock mouse 5 - 10^7.2</t>
    </r>
    <r>
      <rPr>
        <b/>
        <sz val="11"/>
        <color theme="1"/>
        <rFont val="Calibri (Body)"/>
      </rPr>
      <t xml:space="preserve"> BL048</t>
    </r>
  </si>
  <si>
    <r>
      <t>metro + PA mouse 1 - 10^7.2</t>
    </r>
    <r>
      <rPr>
        <b/>
        <sz val="11"/>
        <color theme="1"/>
        <rFont val="Calibri (Body)"/>
      </rPr>
      <t xml:space="preserve"> BL048</t>
    </r>
  </si>
  <si>
    <r>
      <t>metro + PA mouse 2 - 10^7.2</t>
    </r>
    <r>
      <rPr>
        <b/>
        <sz val="11"/>
        <color theme="1"/>
        <rFont val="Calibri (Body)"/>
      </rPr>
      <t xml:space="preserve"> BL048</t>
    </r>
  </si>
  <si>
    <r>
      <t>metro + PA mouse 3 - 10^7.2</t>
    </r>
    <r>
      <rPr>
        <b/>
        <sz val="11"/>
        <color theme="1"/>
        <rFont val="Calibri (Body)"/>
      </rPr>
      <t xml:space="preserve"> BL048</t>
    </r>
  </si>
  <si>
    <r>
      <t>metro + PA mouse 4 - 10^7.2</t>
    </r>
    <r>
      <rPr>
        <b/>
        <sz val="11"/>
        <color theme="1"/>
        <rFont val="Calibri (Body)"/>
      </rPr>
      <t xml:space="preserve"> BL048</t>
    </r>
  </si>
  <si>
    <r>
      <t>metro + PA mouse 5 - 10^7.2</t>
    </r>
    <r>
      <rPr>
        <b/>
        <sz val="11"/>
        <color theme="1"/>
        <rFont val="Calibri (Body)"/>
      </rPr>
      <t xml:space="preserve"> BL048</t>
    </r>
  </si>
  <si>
    <r>
      <t>metro + Mock mouse 1 - 10^7.2</t>
    </r>
    <r>
      <rPr>
        <b/>
        <sz val="11"/>
        <color theme="1"/>
        <rFont val="Calibri (Body)"/>
      </rPr>
      <t xml:space="preserve"> BL048</t>
    </r>
  </si>
  <si>
    <r>
      <t>metro + Mock mouse 2 - 10^7.2</t>
    </r>
    <r>
      <rPr>
        <b/>
        <sz val="11"/>
        <color theme="1"/>
        <rFont val="Calibri (Body)"/>
      </rPr>
      <t xml:space="preserve"> BL048</t>
    </r>
  </si>
  <si>
    <r>
      <t>metro + Mock mouse 3 - 10^7.2</t>
    </r>
    <r>
      <rPr>
        <b/>
        <sz val="11"/>
        <color theme="1"/>
        <rFont val="Calibri (Body)"/>
      </rPr>
      <t xml:space="preserve"> BL048</t>
    </r>
  </si>
  <si>
    <r>
      <t>metro + Mock mouse 4 - 10^7.2</t>
    </r>
    <r>
      <rPr>
        <b/>
        <sz val="11"/>
        <color theme="1"/>
        <rFont val="Calibri (Body)"/>
      </rPr>
      <t xml:space="preserve"> BL048</t>
    </r>
  </si>
  <si>
    <r>
      <t>Metro + Mock mouse 5 - 10^7.2</t>
    </r>
    <r>
      <rPr>
        <b/>
        <sz val="11"/>
        <color theme="1"/>
        <rFont val="Calibri (Body)"/>
      </rPr>
      <t xml:space="preserve"> BL048</t>
    </r>
  </si>
  <si>
    <t>10 x 0.104</t>
  </si>
  <si>
    <t>H20 +PA</t>
  </si>
  <si>
    <t>PBS + PA</t>
  </si>
  <si>
    <t>Metro + PA</t>
  </si>
  <si>
    <t>Metro + Mock</t>
  </si>
  <si>
    <t>Vanco + PA</t>
  </si>
  <si>
    <t>Vanco + mock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</si>
</sst>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 (Body)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3" borderId="0" xfId="0" applyFill="1"/>
    <xf numFmtId="164" fontId="0" fillId="3" borderId="0" xfId="0" applyNumberFormat="1" applyFill="1"/>
    <xf numFmtId="0" fontId="2" fillId="0" borderId="0" xfId="0" applyFont="1" applyAlignment="1">
      <alignment horizontal="center" vertical="center" wrapText="1"/>
    </xf>
    <xf numFmtId="0" fontId="0" fillId="0" borderId="3" xfId="0" applyBorder="1"/>
    <xf numFmtId="11" fontId="0" fillId="0" borderId="4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9" xfId="0" applyNumberFormat="1" applyBorder="1" applyAlignment="1">
      <alignment horizontal="center" vertical="center"/>
    </xf>
    <xf numFmtId="0" fontId="0" fillId="0" borderId="8" xfId="0" applyBorder="1"/>
    <xf numFmtId="0" fontId="0" fillId="3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1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2" fontId="0" fillId="0" borderId="13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0" xfId="0" applyNumberFormat="1" applyAlignment="1">
      <alignment horizontal="center"/>
    </xf>
    <xf numFmtId="2" fontId="0" fillId="0" borderId="16" xfId="0" applyNumberFormat="1" applyBorder="1"/>
    <xf numFmtId="2" fontId="0" fillId="0" borderId="18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1" fontId="0" fillId="0" borderId="5" xfId="0" applyNumberFormat="1" applyBorder="1" applyAlignment="1">
      <alignment horizontal="center" vertical="center"/>
    </xf>
    <xf numFmtId="11" fontId="0" fillId="0" borderId="11" xfId="0" applyNumberFormat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B4FC5-8FB2-8E4B-A47D-4D2B1A3866D4}">
  <dimension ref="B1:I3"/>
  <sheetViews>
    <sheetView workbookViewId="0">
      <selection activeCell="E9" sqref="E9"/>
    </sheetView>
  </sheetViews>
  <sheetFormatPr baseColWidth="10" defaultRowHeight="16" x14ac:dyDescent="0.2"/>
  <cols>
    <col min="5" max="5" width="11.1640625" customWidth="1"/>
  </cols>
  <sheetData>
    <row r="1" spans="2:9" ht="29" thickBot="1" x14ac:dyDescent="0.25">
      <c r="B1" s="1"/>
      <c r="C1" s="14" t="s">
        <v>5</v>
      </c>
      <c r="D1" s="14" t="s">
        <v>6</v>
      </c>
      <c r="E1" s="14" t="s">
        <v>10</v>
      </c>
      <c r="F1" s="14" t="s">
        <v>7</v>
      </c>
      <c r="G1" s="14" t="s">
        <v>8</v>
      </c>
      <c r="H1" s="14"/>
      <c r="I1" s="14" t="s">
        <v>15</v>
      </c>
    </row>
    <row r="2" spans="2:9" x14ac:dyDescent="0.2">
      <c r="B2" s="43" t="s">
        <v>16</v>
      </c>
      <c r="C2" s="15">
        <v>65</v>
      </c>
      <c r="D2" s="16">
        <v>100000</v>
      </c>
      <c r="E2" s="17">
        <f t="shared" ref="E2:E3" si="0">C2*5*D2</f>
        <v>32500000</v>
      </c>
      <c r="F2" s="45">
        <f>AVERAGE(E2:E3)</f>
        <v>16250000</v>
      </c>
      <c r="G2" s="47">
        <f>LOG10(F2)</f>
        <v>7.2108533653148932</v>
      </c>
      <c r="I2" s="49" t="s">
        <v>92</v>
      </c>
    </row>
    <row r="3" spans="2:9" ht="17" thickBot="1" x14ac:dyDescent="0.25">
      <c r="B3" s="44"/>
      <c r="C3" s="19"/>
      <c r="D3" s="18">
        <v>100000</v>
      </c>
      <c r="E3" s="18">
        <f t="shared" si="0"/>
        <v>0</v>
      </c>
      <c r="F3" s="46"/>
      <c r="G3" s="48"/>
      <c r="I3" s="49"/>
    </row>
  </sheetData>
  <mergeCells count="4">
    <mergeCell ref="B2:B3"/>
    <mergeCell ref="F2:F3"/>
    <mergeCell ref="G2:G3"/>
    <mergeCell ref="I2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H212"/>
  <sheetViews>
    <sheetView tabSelected="1" topLeftCell="A11" zoomScale="116" zoomScaleNormal="100" workbookViewId="0">
      <selection activeCell="B28" sqref="B28"/>
    </sheetView>
  </sheetViews>
  <sheetFormatPr baseColWidth="10" defaultRowHeight="16" x14ac:dyDescent="0.2"/>
  <cols>
    <col min="1" max="1" width="18.33203125" customWidth="1"/>
  </cols>
  <sheetData>
    <row r="1" spans="1:7" ht="51" x14ac:dyDescent="0.2">
      <c r="A1" s="2" t="s">
        <v>72</v>
      </c>
      <c r="B1" s="50" t="s">
        <v>0</v>
      </c>
      <c r="C1" s="50"/>
      <c r="D1" s="6" t="s">
        <v>1</v>
      </c>
      <c r="E1" s="6" t="s">
        <v>4</v>
      </c>
      <c r="F1" s="6" t="s">
        <v>2</v>
      </c>
      <c r="G1" s="7" t="s">
        <v>3</v>
      </c>
    </row>
    <row r="2" spans="1:7" x14ac:dyDescent="0.2">
      <c r="A2" s="4" t="s">
        <v>11</v>
      </c>
      <c r="B2">
        <v>0</v>
      </c>
      <c r="D2">
        <f>AVERAGE(B2:C2)</f>
        <v>0</v>
      </c>
      <c r="E2" s="4">
        <v>1</v>
      </c>
      <c r="F2" s="4">
        <f>1836.3-1733.7</f>
        <v>102.59999999999991</v>
      </c>
      <c r="G2" s="8" t="e">
        <f>LOG10(D2*100*E2/F2*1000)</f>
        <v>#NUM!</v>
      </c>
    </row>
    <row r="3" spans="1:7" x14ac:dyDescent="0.2">
      <c r="A3" s="4" t="s">
        <v>12</v>
      </c>
      <c r="B3">
        <v>0</v>
      </c>
      <c r="D3">
        <f t="shared" ref="D3:D6" si="0">AVERAGE(B3:C3)</f>
        <v>0</v>
      </c>
      <c r="E3" s="4">
        <v>1</v>
      </c>
      <c r="F3" s="4">
        <f>1722.3-1688.9</f>
        <v>33.399999999999864</v>
      </c>
      <c r="G3" s="8" t="e">
        <f>LOG10(D3*100*E3/F3*1000)</f>
        <v>#NUM!</v>
      </c>
    </row>
    <row r="4" spans="1:7" x14ac:dyDescent="0.2">
      <c r="A4" s="4" t="s">
        <v>9</v>
      </c>
      <c r="B4">
        <v>0</v>
      </c>
      <c r="D4">
        <f t="shared" si="0"/>
        <v>0</v>
      </c>
      <c r="E4" s="4">
        <v>1</v>
      </c>
      <c r="F4" s="4">
        <f>1877.4-1743.4</f>
        <v>134</v>
      </c>
      <c r="G4" s="8" t="e">
        <f t="shared" ref="G4:G6" si="1">LOG10(D4*100*E4/F4*1000)</f>
        <v>#NUM!</v>
      </c>
    </row>
    <row r="5" spans="1:7" x14ac:dyDescent="0.2">
      <c r="A5" s="4" t="s">
        <v>14</v>
      </c>
      <c r="B5">
        <v>0</v>
      </c>
      <c r="D5">
        <f t="shared" si="0"/>
        <v>0</v>
      </c>
      <c r="E5" s="4">
        <v>1</v>
      </c>
      <c r="F5" s="4">
        <f>1887.2-1731.7</f>
        <v>155.5</v>
      </c>
      <c r="G5" s="8" t="e">
        <f t="shared" si="1"/>
        <v>#NUM!</v>
      </c>
    </row>
    <row r="6" spans="1:7" x14ac:dyDescent="0.2">
      <c r="A6" s="4" t="s">
        <v>13</v>
      </c>
      <c r="B6">
        <v>0</v>
      </c>
      <c r="D6">
        <f t="shared" si="0"/>
        <v>0</v>
      </c>
      <c r="E6" s="4">
        <v>1</v>
      </c>
      <c r="F6" s="4">
        <f>1990.4-1830.8</f>
        <v>159.60000000000014</v>
      </c>
      <c r="G6" s="8" t="e">
        <f t="shared" si="1"/>
        <v>#NUM!</v>
      </c>
    </row>
    <row r="8" spans="1:7" ht="51" x14ac:dyDescent="0.2">
      <c r="A8" s="2" t="s">
        <v>73</v>
      </c>
      <c r="B8" s="50" t="s">
        <v>0</v>
      </c>
      <c r="C8" s="50"/>
      <c r="D8" s="6" t="s">
        <v>1</v>
      </c>
      <c r="E8" s="6" t="s">
        <v>4</v>
      </c>
      <c r="F8" s="6" t="s">
        <v>2</v>
      </c>
      <c r="G8" s="7" t="s">
        <v>3</v>
      </c>
    </row>
    <row r="9" spans="1:7" x14ac:dyDescent="0.2">
      <c r="A9" s="4" t="s">
        <v>11</v>
      </c>
      <c r="B9">
        <v>0</v>
      </c>
      <c r="D9">
        <f>AVERAGE(B9:C9)</f>
        <v>0</v>
      </c>
      <c r="E9" s="4">
        <v>1</v>
      </c>
      <c r="F9" s="4">
        <f>1938.9-1792.1</f>
        <v>146.80000000000018</v>
      </c>
      <c r="G9" s="8" t="e">
        <f>LOG10(D9*100*E9/F9*1000)</f>
        <v>#NUM!</v>
      </c>
    </row>
    <row r="10" spans="1:7" x14ac:dyDescent="0.2">
      <c r="A10" s="4" t="s">
        <v>12</v>
      </c>
      <c r="B10">
        <v>0</v>
      </c>
      <c r="D10">
        <f t="shared" ref="D10:D13" si="2">AVERAGE(B10:C10)</f>
        <v>0</v>
      </c>
      <c r="E10" s="4">
        <v>1</v>
      </c>
      <c r="F10" s="4">
        <f>1928.4-1779.1</f>
        <v>149.30000000000018</v>
      </c>
      <c r="G10" s="8" t="e">
        <f>LOG10(D10*100*E10/F10*1000)</f>
        <v>#NUM!</v>
      </c>
    </row>
    <row r="11" spans="1:7" x14ac:dyDescent="0.2">
      <c r="A11" s="4" t="s">
        <v>9</v>
      </c>
      <c r="B11">
        <v>0</v>
      </c>
      <c r="D11">
        <f t="shared" si="2"/>
        <v>0</v>
      </c>
      <c r="E11" s="4">
        <v>1</v>
      </c>
      <c r="F11" s="4">
        <f>1888.6-1771</f>
        <v>117.59999999999991</v>
      </c>
      <c r="G11" s="8" t="e">
        <f t="shared" ref="G11:G13" si="3">LOG10(D11*100*E11/F11*1000)</f>
        <v>#NUM!</v>
      </c>
    </row>
    <row r="12" spans="1:7" x14ac:dyDescent="0.2">
      <c r="A12" s="4" t="s">
        <v>14</v>
      </c>
      <c r="B12">
        <v>0</v>
      </c>
      <c r="D12">
        <f t="shared" si="2"/>
        <v>0</v>
      </c>
      <c r="E12" s="4">
        <v>1</v>
      </c>
      <c r="F12" s="4">
        <f>1895-1696.1</f>
        <v>198.90000000000009</v>
      </c>
      <c r="G12" s="8" t="e">
        <f t="shared" si="3"/>
        <v>#NUM!</v>
      </c>
    </row>
    <row r="13" spans="1:7" x14ac:dyDescent="0.2">
      <c r="A13" s="4" t="s">
        <v>13</v>
      </c>
      <c r="B13">
        <v>0</v>
      </c>
      <c r="D13">
        <f t="shared" si="2"/>
        <v>0</v>
      </c>
      <c r="E13" s="4">
        <v>1</v>
      </c>
      <c r="F13" s="4">
        <f>2008.9-1853.8</f>
        <v>155.10000000000014</v>
      </c>
      <c r="G13" s="8" t="e">
        <f t="shared" si="3"/>
        <v>#NUM!</v>
      </c>
    </row>
    <row r="14" spans="1:7" x14ac:dyDescent="0.2">
      <c r="A14" s="4"/>
      <c r="E14" s="4"/>
      <c r="F14" s="4"/>
      <c r="G14" s="8"/>
    </row>
    <row r="15" spans="1:7" ht="51" x14ac:dyDescent="0.2">
      <c r="A15" s="2" t="s">
        <v>74</v>
      </c>
      <c r="B15" s="50" t="s">
        <v>0</v>
      </c>
      <c r="C15" s="50"/>
      <c r="D15" s="6" t="s">
        <v>1</v>
      </c>
      <c r="E15" s="6" t="s">
        <v>4</v>
      </c>
      <c r="F15" s="6" t="s">
        <v>2</v>
      </c>
      <c r="G15" s="7" t="s">
        <v>3</v>
      </c>
    </row>
    <row r="16" spans="1:7" x14ac:dyDescent="0.2">
      <c r="A16" s="4" t="s">
        <v>11</v>
      </c>
      <c r="B16">
        <v>0</v>
      </c>
      <c r="D16">
        <f>AVERAGE(B16:C16)</f>
        <v>0</v>
      </c>
      <c r="E16" s="4">
        <v>1</v>
      </c>
      <c r="F16" s="4">
        <f>1972.3-1872.4</f>
        <v>99.899999999999864</v>
      </c>
      <c r="G16" s="8" t="e">
        <f>LOG10(D16*100*E16/F16*1000)</f>
        <v>#NUM!</v>
      </c>
    </row>
    <row r="17" spans="1:7" x14ac:dyDescent="0.2">
      <c r="A17" s="4" t="s">
        <v>12</v>
      </c>
      <c r="B17">
        <v>0</v>
      </c>
      <c r="D17">
        <f t="shared" ref="D17:D20" si="4">AVERAGE(B17:C17)</f>
        <v>0</v>
      </c>
      <c r="E17" s="4">
        <v>1</v>
      </c>
      <c r="F17" s="4">
        <f>1816.1-1757.2</f>
        <v>58.899999999999864</v>
      </c>
      <c r="G17" s="8" t="e">
        <f>LOG10(D17*100*E17/F17*1000)</f>
        <v>#NUM!</v>
      </c>
    </row>
    <row r="18" spans="1:7" x14ac:dyDescent="0.2">
      <c r="A18" s="4" t="s">
        <v>9</v>
      </c>
      <c r="B18">
        <v>0</v>
      </c>
      <c r="D18">
        <f t="shared" si="4"/>
        <v>0</v>
      </c>
      <c r="E18" s="4">
        <v>1</v>
      </c>
      <c r="F18" s="4">
        <f>1883.2-1782.5</f>
        <v>100.70000000000005</v>
      </c>
      <c r="G18" s="8" t="e">
        <f t="shared" ref="G18:G20" si="5">LOG10(D18*100*E18/F18*1000)</f>
        <v>#NUM!</v>
      </c>
    </row>
    <row r="19" spans="1:7" x14ac:dyDescent="0.2">
      <c r="A19" s="4" t="s">
        <v>14</v>
      </c>
      <c r="B19">
        <v>0</v>
      </c>
      <c r="D19">
        <f t="shared" si="4"/>
        <v>0</v>
      </c>
      <c r="E19" s="4">
        <v>1</v>
      </c>
      <c r="F19" s="4">
        <f>1957.3-1727</f>
        <v>230.29999999999995</v>
      </c>
      <c r="G19" s="8" t="e">
        <f t="shared" si="5"/>
        <v>#NUM!</v>
      </c>
    </row>
    <row r="20" spans="1:7" x14ac:dyDescent="0.2">
      <c r="A20" s="4" t="s">
        <v>13</v>
      </c>
      <c r="B20">
        <v>0</v>
      </c>
      <c r="D20">
        <f t="shared" si="4"/>
        <v>0</v>
      </c>
      <c r="E20" s="4">
        <v>1</v>
      </c>
      <c r="F20" s="4">
        <f>1883.6-1820.6</f>
        <v>63</v>
      </c>
      <c r="G20" s="8" t="e">
        <f t="shared" si="5"/>
        <v>#NUM!</v>
      </c>
    </row>
    <row r="21" spans="1:7" x14ac:dyDescent="0.2">
      <c r="A21" s="4"/>
      <c r="E21" s="4"/>
      <c r="F21" s="4"/>
      <c r="G21" s="8"/>
    </row>
    <row r="22" spans="1:7" ht="51" x14ac:dyDescent="0.2">
      <c r="A22" s="2" t="s">
        <v>75</v>
      </c>
      <c r="B22" s="50" t="s">
        <v>0</v>
      </c>
      <c r="C22" s="50"/>
      <c r="D22" s="6" t="s">
        <v>1</v>
      </c>
      <c r="E22" s="6" t="s">
        <v>4</v>
      </c>
      <c r="F22" s="6" t="s">
        <v>2</v>
      </c>
      <c r="G22" s="7" t="s">
        <v>3</v>
      </c>
    </row>
    <row r="23" spans="1:7" x14ac:dyDescent="0.2">
      <c r="A23" s="4" t="s">
        <v>11</v>
      </c>
      <c r="B23">
        <v>1</v>
      </c>
      <c r="D23">
        <f>AVERAGE(B23:C23)</f>
        <v>1</v>
      </c>
      <c r="E23" s="4">
        <v>1</v>
      </c>
      <c r="F23" s="4">
        <f>1956.8-1848.7</f>
        <v>108.09999999999991</v>
      </c>
      <c r="G23" s="8">
        <f>LOG10(D23*100*E23/F23*1000)</f>
        <v>2.9661743060466899</v>
      </c>
    </row>
    <row r="24" spans="1:7" x14ac:dyDescent="0.2">
      <c r="A24" s="4" t="s">
        <v>12</v>
      </c>
      <c r="B24">
        <v>9</v>
      </c>
      <c r="D24">
        <f t="shared" ref="D24:D27" si="6">AVERAGE(B24:C24)</f>
        <v>9</v>
      </c>
      <c r="E24" s="4">
        <v>1</v>
      </c>
      <c r="F24" s="4">
        <f>1826.4-1743.5</f>
        <v>82.900000000000091</v>
      </c>
      <c r="G24" s="8">
        <f>LOG10(D24*100*E24/F24*1000)</f>
        <v>4.035687978889051</v>
      </c>
    </row>
    <row r="25" spans="1:7" x14ac:dyDescent="0.2">
      <c r="A25" s="4" t="s">
        <v>9</v>
      </c>
      <c r="B25">
        <v>2</v>
      </c>
      <c r="D25">
        <f t="shared" si="6"/>
        <v>2</v>
      </c>
      <c r="E25" s="4">
        <v>1</v>
      </c>
      <c r="F25" s="4">
        <f>1825.2-1743.3</f>
        <v>81.900000000000091</v>
      </c>
      <c r="G25" s="8">
        <f t="shared" ref="G25:G27" si="7">LOG10(D25*100*E25/F25*1000)</f>
        <v>3.3877460939035622</v>
      </c>
    </row>
    <row r="26" spans="1:7" x14ac:dyDescent="0.2">
      <c r="A26" s="4" t="s">
        <v>14</v>
      </c>
      <c r="B26">
        <v>9</v>
      </c>
      <c r="D26">
        <f t="shared" si="6"/>
        <v>9</v>
      </c>
      <c r="E26" s="4">
        <v>1</v>
      </c>
      <c r="F26" s="4">
        <f>1932.9-1764.4</f>
        <v>168.5</v>
      </c>
      <c r="G26" s="8">
        <f t="shared" si="7"/>
        <v>3.7276426042319675</v>
      </c>
    </row>
    <row r="27" spans="1:7" x14ac:dyDescent="0.2">
      <c r="A27" s="4" t="s">
        <v>13</v>
      </c>
      <c r="B27">
        <v>10</v>
      </c>
      <c r="D27">
        <f t="shared" si="6"/>
        <v>10</v>
      </c>
      <c r="E27" s="4">
        <v>1</v>
      </c>
      <c r="F27" s="4">
        <f>1951-1817.6</f>
        <v>133.40000000000009</v>
      </c>
      <c r="G27" s="8">
        <f t="shared" si="7"/>
        <v>3.8748441704194696</v>
      </c>
    </row>
    <row r="28" spans="1:7" x14ac:dyDescent="0.2">
      <c r="A28" s="4"/>
      <c r="E28" s="4"/>
      <c r="F28" s="4"/>
      <c r="G28" s="8"/>
    </row>
    <row r="29" spans="1:7" ht="51" x14ac:dyDescent="0.2">
      <c r="A29" s="2" t="s">
        <v>76</v>
      </c>
      <c r="B29" s="50" t="s">
        <v>0</v>
      </c>
      <c r="C29" s="50"/>
      <c r="D29" s="6" t="s">
        <v>1</v>
      </c>
      <c r="E29" s="6" t="s">
        <v>4</v>
      </c>
      <c r="F29" s="6" t="s">
        <v>2</v>
      </c>
      <c r="G29" s="7" t="s">
        <v>3</v>
      </c>
    </row>
    <row r="30" spans="1:7" x14ac:dyDescent="0.2">
      <c r="A30" s="4" t="s">
        <v>11</v>
      </c>
      <c r="B30">
        <v>5</v>
      </c>
      <c r="D30">
        <f>AVERAGE(B30:C30)</f>
        <v>5</v>
      </c>
      <c r="E30" s="4">
        <v>1</v>
      </c>
      <c r="F30" s="4">
        <f>1973.7-1846.7</f>
        <v>127</v>
      </c>
      <c r="G30" s="8">
        <f>LOG10(D30*100*E30/F30*1000)</f>
        <v>3.5951662833800619</v>
      </c>
    </row>
    <row r="31" spans="1:7" x14ac:dyDescent="0.2">
      <c r="A31" s="4" t="s">
        <v>12</v>
      </c>
      <c r="B31">
        <v>0</v>
      </c>
      <c r="D31">
        <f t="shared" ref="D31:D34" si="8">AVERAGE(B31:C31)</f>
        <v>0</v>
      </c>
      <c r="E31" s="4">
        <v>1</v>
      </c>
      <c r="F31" s="4">
        <f>1964.1-1882</f>
        <v>82.099999999999909</v>
      </c>
      <c r="G31" s="8" t="e">
        <f>LOG10(D31*100*E31/F31*1000)</f>
        <v>#NUM!</v>
      </c>
    </row>
    <row r="32" spans="1:7" x14ac:dyDescent="0.2">
      <c r="A32" s="4" t="s">
        <v>9</v>
      </c>
      <c r="B32">
        <v>0</v>
      </c>
      <c r="D32">
        <f t="shared" si="8"/>
        <v>0</v>
      </c>
      <c r="E32" s="4">
        <v>1</v>
      </c>
      <c r="F32" s="4">
        <f>1977.3-1891.6</f>
        <v>85.700000000000045</v>
      </c>
      <c r="G32" s="8" t="e">
        <f t="shared" ref="G32:G34" si="9">LOG10(D32*100*E32/F32*1000)</f>
        <v>#NUM!</v>
      </c>
    </row>
    <row r="33" spans="1:8" x14ac:dyDescent="0.2">
      <c r="A33" s="4" t="s">
        <v>14</v>
      </c>
      <c r="B33">
        <v>0</v>
      </c>
      <c r="D33">
        <f t="shared" si="8"/>
        <v>0</v>
      </c>
      <c r="E33" s="4">
        <v>1</v>
      </c>
      <c r="F33" s="4">
        <f>1931.5-1771.7</f>
        <v>159.79999999999995</v>
      </c>
      <c r="G33" s="8" t="e">
        <f t="shared" si="9"/>
        <v>#NUM!</v>
      </c>
    </row>
    <row r="34" spans="1:8" x14ac:dyDescent="0.2">
      <c r="A34" s="4" t="s">
        <v>13</v>
      </c>
      <c r="B34">
        <v>0</v>
      </c>
      <c r="D34">
        <f t="shared" si="8"/>
        <v>0</v>
      </c>
      <c r="E34" s="4">
        <v>1</v>
      </c>
      <c r="F34" s="4">
        <f>1923.4-1770.9</f>
        <v>152.5</v>
      </c>
      <c r="G34" s="8" t="e">
        <f t="shared" si="9"/>
        <v>#NUM!</v>
      </c>
    </row>
    <row r="36" spans="1:8" s="12" customFormat="1" x14ac:dyDescent="0.2"/>
    <row r="37" spans="1:8" ht="51" x14ac:dyDescent="0.2">
      <c r="A37" s="2" t="s">
        <v>17</v>
      </c>
      <c r="B37" s="50" t="s">
        <v>0</v>
      </c>
      <c r="C37" s="50"/>
      <c r="D37" s="6" t="s">
        <v>1</v>
      </c>
      <c r="E37" s="6" t="s">
        <v>4</v>
      </c>
      <c r="F37" s="6" t="s">
        <v>2</v>
      </c>
      <c r="G37" s="7" t="s">
        <v>3</v>
      </c>
      <c r="H37" s="7"/>
    </row>
    <row r="38" spans="1:8" x14ac:dyDescent="0.2">
      <c r="A38" s="4" t="s">
        <v>11</v>
      </c>
      <c r="B38">
        <v>0</v>
      </c>
      <c r="D38">
        <f>AVERAGE(B38:C38)</f>
        <v>0</v>
      </c>
      <c r="E38" s="4">
        <v>1</v>
      </c>
      <c r="F38" s="4">
        <f>1777.1-1665.1</f>
        <v>112</v>
      </c>
      <c r="G38" s="8" t="e">
        <f>LOG10(D38*100*E38/F38*1000)</f>
        <v>#NUM!</v>
      </c>
      <c r="H38" s="8"/>
    </row>
    <row r="39" spans="1:8" x14ac:dyDescent="0.2">
      <c r="A39" s="4" t="s">
        <v>12</v>
      </c>
      <c r="B39">
        <v>0</v>
      </c>
      <c r="D39">
        <f t="shared" ref="D39:D40" si="10">AVERAGE(B39:C39)</f>
        <v>0</v>
      </c>
      <c r="E39" s="4">
        <v>1</v>
      </c>
      <c r="F39" s="4">
        <f>1838.3-1711.3</f>
        <v>127</v>
      </c>
      <c r="G39" s="8" t="e">
        <f>LOG10(D39*100*E39/F39*1000)</f>
        <v>#NUM!</v>
      </c>
      <c r="H39" s="8"/>
    </row>
    <row r="40" spans="1:8" x14ac:dyDescent="0.2">
      <c r="A40" s="4" t="s">
        <v>9</v>
      </c>
      <c r="B40">
        <v>0</v>
      </c>
      <c r="D40">
        <f t="shared" si="10"/>
        <v>0</v>
      </c>
      <c r="E40" s="4">
        <v>1</v>
      </c>
      <c r="F40" s="4">
        <f>1849.2-1744.2</f>
        <v>105</v>
      </c>
      <c r="G40" s="8" t="e">
        <f t="shared" ref="G40" si="11">LOG10(D40*100*E40/F40*1000)</f>
        <v>#NUM!</v>
      </c>
      <c r="H40" s="8"/>
    </row>
    <row r="41" spans="1:8" x14ac:dyDescent="0.2">
      <c r="A41" s="4" t="s">
        <v>14</v>
      </c>
      <c r="B41">
        <v>0</v>
      </c>
      <c r="D41">
        <f t="shared" ref="D41:D42" si="12">AVERAGE(B41:C41)</f>
        <v>0</v>
      </c>
      <c r="E41" s="4">
        <v>1</v>
      </c>
      <c r="F41" s="4">
        <f>1914.5-1786.5</f>
        <v>128</v>
      </c>
      <c r="G41" s="8" t="e">
        <f t="shared" ref="G41:G42" si="13">LOG10(D41*100*E41/F41*1000)</f>
        <v>#NUM!</v>
      </c>
      <c r="H41" s="8"/>
    </row>
    <row r="42" spans="1:8" x14ac:dyDescent="0.2">
      <c r="A42" s="4" t="s">
        <v>13</v>
      </c>
      <c r="B42">
        <v>0</v>
      </c>
      <c r="D42">
        <f t="shared" si="12"/>
        <v>0</v>
      </c>
      <c r="E42" s="4">
        <v>1</v>
      </c>
      <c r="F42" s="4">
        <f>1942.3-1755.3</f>
        <v>187</v>
      </c>
      <c r="G42" s="8" t="e">
        <f t="shared" si="13"/>
        <v>#NUM!</v>
      </c>
      <c r="H42" s="8"/>
    </row>
    <row r="43" spans="1:8" x14ac:dyDescent="0.2">
      <c r="A43" s="4"/>
      <c r="E43" s="4"/>
      <c r="F43" s="4"/>
      <c r="G43" s="8"/>
      <c r="H43" s="5"/>
    </row>
    <row r="44" spans="1:8" ht="51" x14ac:dyDescent="0.2">
      <c r="A44" s="2" t="s">
        <v>18</v>
      </c>
      <c r="B44" s="50" t="s">
        <v>0</v>
      </c>
      <c r="C44" s="50"/>
      <c r="D44" s="6" t="s">
        <v>1</v>
      </c>
      <c r="E44" s="6" t="s">
        <v>4</v>
      </c>
      <c r="F44" s="6" t="s">
        <v>2</v>
      </c>
      <c r="G44" s="7" t="s">
        <v>3</v>
      </c>
      <c r="H44" s="5"/>
    </row>
    <row r="45" spans="1:8" x14ac:dyDescent="0.2">
      <c r="A45" s="4" t="s">
        <v>11</v>
      </c>
      <c r="B45">
        <v>0</v>
      </c>
      <c r="D45">
        <f>AVERAGE(B45:C45)</f>
        <v>0</v>
      </c>
      <c r="E45" s="4">
        <v>1</v>
      </c>
      <c r="F45" s="4">
        <f>2026.9-1890.2</f>
        <v>136.70000000000005</v>
      </c>
      <c r="G45" s="8" t="e">
        <f>LOG10(D45*100*E45/F45*1000)</f>
        <v>#NUM!</v>
      </c>
      <c r="H45" s="5"/>
    </row>
    <row r="46" spans="1:8" x14ac:dyDescent="0.2">
      <c r="A46" s="4" t="s">
        <v>12</v>
      </c>
      <c r="B46">
        <v>0</v>
      </c>
      <c r="D46">
        <f t="shared" ref="D46:D49" si="14">AVERAGE(B46:C46)</f>
        <v>0</v>
      </c>
      <c r="E46" s="4">
        <v>1</v>
      </c>
      <c r="F46" s="4">
        <f>1757.8-1702.3</f>
        <v>55.5</v>
      </c>
      <c r="G46" s="8" t="e">
        <f>LOG10(D46*100*E46/F46*1000)</f>
        <v>#NUM!</v>
      </c>
      <c r="H46" s="5"/>
    </row>
    <row r="47" spans="1:8" x14ac:dyDescent="0.2">
      <c r="A47" s="4" t="s">
        <v>9</v>
      </c>
      <c r="B47">
        <v>0</v>
      </c>
      <c r="D47">
        <f t="shared" si="14"/>
        <v>0</v>
      </c>
      <c r="E47" s="4">
        <v>1</v>
      </c>
      <c r="F47" s="4">
        <f>1841.6-1750</f>
        <v>91.599999999999909</v>
      </c>
      <c r="G47" s="8" t="e">
        <f>LOG10(D47*100*E47/F48*1000)</f>
        <v>#NUM!</v>
      </c>
      <c r="H47" s="5"/>
    </row>
    <row r="48" spans="1:8" x14ac:dyDescent="0.2">
      <c r="A48" s="4" t="s">
        <v>14</v>
      </c>
      <c r="B48">
        <v>0</v>
      </c>
      <c r="D48">
        <f t="shared" si="14"/>
        <v>0</v>
      </c>
      <c r="E48" s="4">
        <v>1</v>
      </c>
      <c r="F48" s="4">
        <f>1810.8-1674.1</f>
        <v>136.70000000000005</v>
      </c>
      <c r="G48" s="8" t="e">
        <f>LOG10(D48*100*E48/#REF!*1000)</f>
        <v>#REF!</v>
      </c>
      <c r="H48" s="5"/>
    </row>
    <row r="49" spans="1:8" x14ac:dyDescent="0.2">
      <c r="A49" s="4" t="s">
        <v>13</v>
      </c>
      <c r="B49">
        <v>0</v>
      </c>
      <c r="D49">
        <f t="shared" si="14"/>
        <v>0</v>
      </c>
      <c r="E49" s="4">
        <v>1</v>
      </c>
      <c r="F49" s="4">
        <f>1832.2-1718.3</f>
        <v>113.90000000000009</v>
      </c>
      <c r="G49" s="8" t="e">
        <f t="shared" ref="G49" si="15">LOG10(D49*100*E49/F49*1000)</f>
        <v>#NUM!</v>
      </c>
      <c r="H49" s="5"/>
    </row>
    <row r="50" spans="1:8" x14ac:dyDescent="0.2">
      <c r="A50" s="4"/>
      <c r="E50" s="4"/>
      <c r="F50" s="4"/>
      <c r="G50" s="8"/>
      <c r="H50" s="5"/>
    </row>
    <row r="51" spans="1:8" ht="51" x14ac:dyDescent="0.2">
      <c r="A51" s="2" t="s">
        <v>19</v>
      </c>
      <c r="B51" s="50" t="s">
        <v>0</v>
      </c>
      <c r="C51" s="50"/>
      <c r="D51" s="6" t="s">
        <v>1</v>
      </c>
      <c r="E51" s="6" t="s">
        <v>4</v>
      </c>
      <c r="F51" s="6" t="s">
        <v>2</v>
      </c>
      <c r="G51" s="7" t="s">
        <v>3</v>
      </c>
      <c r="H51" s="5"/>
    </row>
    <row r="52" spans="1:8" x14ac:dyDescent="0.2">
      <c r="A52" s="4" t="s">
        <v>11</v>
      </c>
      <c r="B52">
        <v>0</v>
      </c>
      <c r="D52">
        <f>AVERAGE(B52:C52)</f>
        <v>0</v>
      </c>
      <c r="E52" s="4">
        <v>1</v>
      </c>
      <c r="F52" s="4">
        <f>1959.9-1911.1</f>
        <v>48.800000000000182</v>
      </c>
      <c r="G52" s="8" t="e">
        <f>LOG10(D52*100*E52/F52*1000)</f>
        <v>#NUM!</v>
      </c>
      <c r="H52" s="5"/>
    </row>
    <row r="53" spans="1:8" x14ac:dyDescent="0.2">
      <c r="A53" s="4" t="s">
        <v>12</v>
      </c>
      <c r="B53">
        <v>0</v>
      </c>
      <c r="D53">
        <f t="shared" ref="D53:D56" si="16">AVERAGE(B53:C53)</f>
        <v>0</v>
      </c>
      <c r="E53" s="4">
        <v>1</v>
      </c>
      <c r="F53" s="4">
        <f>1967.2-1888.9</f>
        <v>78.299999999999955</v>
      </c>
      <c r="G53" s="8" t="e">
        <f>LOG10(D53*100*E53/F53*1000)</f>
        <v>#NUM!</v>
      </c>
      <c r="H53" s="5"/>
    </row>
    <row r="54" spans="1:8" x14ac:dyDescent="0.2">
      <c r="A54" s="4" t="s">
        <v>9</v>
      </c>
      <c r="B54">
        <v>0</v>
      </c>
      <c r="D54">
        <f t="shared" si="16"/>
        <v>0</v>
      </c>
      <c r="E54" s="4">
        <v>1</v>
      </c>
      <c r="F54" s="4">
        <f>1781-1723</f>
        <v>58</v>
      </c>
      <c r="G54" s="8" t="e">
        <f t="shared" ref="G54:G56" si="17">LOG10(D54*100*E54/F54*1000)</f>
        <v>#NUM!</v>
      </c>
      <c r="H54" s="5"/>
    </row>
    <row r="55" spans="1:8" x14ac:dyDescent="0.2">
      <c r="A55" s="4" t="s">
        <v>14</v>
      </c>
      <c r="B55">
        <v>0</v>
      </c>
      <c r="D55">
        <f t="shared" si="16"/>
        <v>0</v>
      </c>
      <c r="E55" s="4">
        <v>1</v>
      </c>
      <c r="F55" s="4">
        <f>1853.4-1719.6</f>
        <v>133.80000000000018</v>
      </c>
      <c r="G55" s="8" t="e">
        <f t="shared" si="17"/>
        <v>#NUM!</v>
      </c>
      <c r="H55" s="5"/>
    </row>
    <row r="56" spans="1:8" x14ac:dyDescent="0.2">
      <c r="A56" s="4" t="s">
        <v>13</v>
      </c>
      <c r="B56">
        <v>0</v>
      </c>
      <c r="D56">
        <f t="shared" si="16"/>
        <v>0</v>
      </c>
      <c r="E56" s="4">
        <v>1</v>
      </c>
      <c r="F56" s="4">
        <f>1820.9-1752.4</f>
        <v>68.5</v>
      </c>
      <c r="G56" s="8" t="e">
        <f t="shared" si="17"/>
        <v>#NUM!</v>
      </c>
      <c r="H56" s="5"/>
    </row>
    <row r="57" spans="1:8" x14ac:dyDescent="0.2">
      <c r="A57" s="9"/>
      <c r="B57" s="10"/>
      <c r="C57" s="10"/>
      <c r="E57" s="9"/>
      <c r="F57" s="9"/>
      <c r="G57" s="8"/>
      <c r="H57" s="5"/>
    </row>
    <row r="58" spans="1:8" ht="51" x14ac:dyDescent="0.2">
      <c r="A58" s="2" t="s">
        <v>20</v>
      </c>
      <c r="B58" s="50" t="s">
        <v>0</v>
      </c>
      <c r="C58" s="50"/>
      <c r="D58" s="6" t="s">
        <v>1</v>
      </c>
      <c r="E58" s="6" t="s">
        <v>4</v>
      </c>
      <c r="F58" s="6" t="s">
        <v>2</v>
      </c>
      <c r="G58" s="7" t="s">
        <v>3</v>
      </c>
      <c r="H58" s="5"/>
    </row>
    <row r="59" spans="1:8" x14ac:dyDescent="0.2">
      <c r="A59" s="4" t="s">
        <v>11</v>
      </c>
      <c r="B59">
        <v>0</v>
      </c>
      <c r="D59">
        <f>AVERAGE(B59:C59)</f>
        <v>0</v>
      </c>
      <c r="E59" s="4">
        <v>1</v>
      </c>
      <c r="F59" s="4">
        <f>1892.6-1781.3</f>
        <v>111.29999999999995</v>
      </c>
      <c r="G59" s="8" t="e">
        <f>LOG10(D59*100*E59/F59*1000)</f>
        <v>#NUM!</v>
      </c>
      <c r="H59" s="5"/>
    </row>
    <row r="60" spans="1:8" x14ac:dyDescent="0.2">
      <c r="A60" s="4" t="s">
        <v>12</v>
      </c>
      <c r="B60">
        <v>0</v>
      </c>
      <c r="D60">
        <f t="shared" ref="D60:D63" si="18">AVERAGE(B60:C60)</f>
        <v>0</v>
      </c>
      <c r="E60" s="4">
        <v>1</v>
      </c>
      <c r="F60" s="4">
        <f>1874.6-1776.2</f>
        <v>98.399999999999864</v>
      </c>
      <c r="G60" s="8" t="e">
        <f>LOG10(D60*100*E60/F60*1000)</f>
        <v>#NUM!</v>
      </c>
      <c r="H60" s="5"/>
    </row>
    <row r="61" spans="1:8" x14ac:dyDescent="0.2">
      <c r="A61" s="4" t="s">
        <v>9</v>
      </c>
      <c r="B61">
        <v>0</v>
      </c>
      <c r="D61">
        <f t="shared" si="18"/>
        <v>0</v>
      </c>
      <c r="E61" s="4">
        <v>1</v>
      </c>
      <c r="F61" s="4">
        <f>1860-1771.5</f>
        <v>88.5</v>
      </c>
      <c r="G61" s="8" t="e">
        <f t="shared" ref="G61:G63" si="19">LOG10(D61*100*E61/F61*1000)</f>
        <v>#NUM!</v>
      </c>
      <c r="H61" s="5"/>
    </row>
    <row r="62" spans="1:8" x14ac:dyDescent="0.2">
      <c r="A62" s="4" t="s">
        <v>14</v>
      </c>
      <c r="B62">
        <v>0</v>
      </c>
      <c r="D62">
        <f t="shared" si="18"/>
        <v>0</v>
      </c>
      <c r="E62" s="4">
        <v>1</v>
      </c>
      <c r="F62" s="4">
        <f>1862.3-1765.8</f>
        <v>96.5</v>
      </c>
      <c r="G62" s="8" t="e">
        <f t="shared" si="19"/>
        <v>#NUM!</v>
      </c>
      <c r="H62" s="5"/>
    </row>
    <row r="63" spans="1:8" x14ac:dyDescent="0.2">
      <c r="A63" s="4" t="s">
        <v>13</v>
      </c>
      <c r="B63">
        <v>0</v>
      </c>
      <c r="D63">
        <f t="shared" si="18"/>
        <v>0</v>
      </c>
      <c r="E63" s="4">
        <v>1</v>
      </c>
      <c r="F63" s="4">
        <f>1740.6-1696.8</f>
        <v>43.799999999999955</v>
      </c>
      <c r="G63" s="8" t="e">
        <f t="shared" si="19"/>
        <v>#NUM!</v>
      </c>
      <c r="H63" s="5"/>
    </row>
    <row r="64" spans="1:8" x14ac:dyDescent="0.2">
      <c r="A64" s="4"/>
      <c r="E64" s="4"/>
      <c r="F64" s="4"/>
      <c r="G64" s="8"/>
      <c r="H64" s="5"/>
    </row>
    <row r="65" spans="1:8" ht="51" x14ac:dyDescent="0.2">
      <c r="A65" s="2" t="s">
        <v>21</v>
      </c>
      <c r="B65" s="50" t="s">
        <v>0</v>
      </c>
      <c r="C65" s="50"/>
      <c r="D65" s="6" t="s">
        <v>1</v>
      </c>
      <c r="E65" s="6" t="s">
        <v>4</v>
      </c>
      <c r="F65" s="6" t="s">
        <v>2</v>
      </c>
      <c r="G65" s="7" t="s">
        <v>3</v>
      </c>
      <c r="H65" s="5"/>
    </row>
    <row r="66" spans="1:8" x14ac:dyDescent="0.2">
      <c r="A66" s="4" t="s">
        <v>11</v>
      </c>
      <c r="B66">
        <v>0</v>
      </c>
      <c r="D66">
        <f>AVERAGE(B66:C66)</f>
        <v>0</v>
      </c>
      <c r="E66" s="4">
        <v>1</v>
      </c>
      <c r="F66" s="4">
        <f>1861.4-1822.3</f>
        <v>39.100000000000136</v>
      </c>
      <c r="G66" s="8" t="e">
        <f>LOG10(D66*100*E66/F66*1000)</f>
        <v>#NUM!</v>
      </c>
      <c r="H66" s="5"/>
    </row>
    <row r="67" spans="1:8" x14ac:dyDescent="0.2">
      <c r="A67" s="4" t="s">
        <v>12</v>
      </c>
      <c r="B67">
        <v>0</v>
      </c>
      <c r="D67">
        <f t="shared" ref="D67:D70" si="20">AVERAGE(B67:C67)</f>
        <v>0</v>
      </c>
      <c r="E67" s="4">
        <v>1</v>
      </c>
      <c r="F67" s="4">
        <f>1728.6-1670.7</f>
        <v>57.899999999999864</v>
      </c>
      <c r="G67" s="8" t="e">
        <f>LOG10(D67*100*E67/F67*1000)</f>
        <v>#NUM!</v>
      </c>
      <c r="H67" s="3"/>
    </row>
    <row r="68" spans="1:8" x14ac:dyDescent="0.2">
      <c r="A68" s="4" t="s">
        <v>9</v>
      </c>
      <c r="B68">
        <v>0</v>
      </c>
      <c r="D68">
        <f t="shared" si="20"/>
        <v>0</v>
      </c>
      <c r="E68" s="4">
        <v>1</v>
      </c>
      <c r="F68" s="4">
        <f>1908.1-1820.2</f>
        <v>87.899999999999864</v>
      </c>
      <c r="G68" s="8" t="e">
        <f t="shared" ref="G68:G70" si="21">LOG10(D68*100*E68/F68*1000)</f>
        <v>#NUM!</v>
      </c>
      <c r="H68" s="3"/>
    </row>
    <row r="69" spans="1:8" x14ac:dyDescent="0.2">
      <c r="A69" s="4" t="s">
        <v>14</v>
      </c>
      <c r="B69">
        <v>0</v>
      </c>
      <c r="D69">
        <f t="shared" si="20"/>
        <v>0</v>
      </c>
      <c r="E69" s="4">
        <v>1</v>
      </c>
      <c r="F69" s="4">
        <f>1842.6-1759.4</f>
        <v>83.199999999999818</v>
      </c>
      <c r="G69" s="8" t="e">
        <f t="shared" si="21"/>
        <v>#NUM!</v>
      </c>
      <c r="H69" s="3"/>
    </row>
    <row r="70" spans="1:8" x14ac:dyDescent="0.2">
      <c r="A70" s="4" t="s">
        <v>13</v>
      </c>
      <c r="B70">
        <v>0</v>
      </c>
      <c r="D70">
        <f t="shared" si="20"/>
        <v>0</v>
      </c>
      <c r="E70" s="4">
        <v>1</v>
      </c>
      <c r="F70" s="4">
        <f>1908.6-1817.9</f>
        <v>90.699999999999818</v>
      </c>
      <c r="G70" s="8" t="e">
        <f t="shared" si="21"/>
        <v>#NUM!</v>
      </c>
      <c r="H70" s="3"/>
    </row>
    <row r="71" spans="1:8" s="12" customFormat="1" x14ac:dyDescent="0.2">
      <c r="A71" s="20"/>
      <c r="E71" s="20"/>
      <c r="F71" s="20"/>
      <c r="G71" s="13"/>
    </row>
    <row r="72" spans="1:8" ht="51" x14ac:dyDescent="0.2">
      <c r="A72" s="2" t="s">
        <v>22</v>
      </c>
      <c r="B72" s="50" t="s">
        <v>0</v>
      </c>
      <c r="C72" s="50"/>
      <c r="D72" s="6" t="s">
        <v>1</v>
      </c>
      <c r="E72" s="6" t="s">
        <v>4</v>
      </c>
      <c r="F72" s="6" t="s">
        <v>2</v>
      </c>
      <c r="G72" s="7" t="s">
        <v>3</v>
      </c>
      <c r="H72" s="3"/>
    </row>
    <row r="73" spans="1:8" x14ac:dyDescent="0.2">
      <c r="A73" s="4" t="s">
        <v>11</v>
      </c>
      <c r="B73">
        <v>26</v>
      </c>
      <c r="C73">
        <v>12</v>
      </c>
      <c r="D73">
        <f>AVERAGE(B73:C73)</f>
        <v>19</v>
      </c>
      <c r="E73" s="4">
        <v>100</v>
      </c>
      <c r="F73" s="4">
        <f>1889.8-1879.1</f>
        <v>10.700000000000045</v>
      </c>
      <c r="G73" s="8">
        <f>LOG10(D73*100*E73/F73*1000)</f>
        <v>7.2493698232676174</v>
      </c>
      <c r="H73" s="3"/>
    </row>
    <row r="74" spans="1:8" x14ac:dyDescent="0.2">
      <c r="A74" s="4" t="s">
        <v>12</v>
      </c>
      <c r="B74">
        <v>65</v>
      </c>
      <c r="C74">
        <v>50</v>
      </c>
      <c r="D74">
        <f t="shared" ref="D74:D75" si="22">AVERAGE(B74:C74)</f>
        <v>57.5</v>
      </c>
      <c r="E74" s="4">
        <v>100</v>
      </c>
      <c r="F74" s="4">
        <f>1826.5-1794.2</f>
        <v>32.299999999999955</v>
      </c>
      <c r="G74" s="8">
        <f>LOG10(D74*100*E74/F74*1000)</f>
        <v>7.2504653223585285</v>
      </c>
      <c r="H74" s="3"/>
    </row>
    <row r="75" spans="1:8" x14ac:dyDescent="0.2">
      <c r="A75" s="4" t="s">
        <v>9</v>
      </c>
      <c r="B75">
        <v>37</v>
      </c>
      <c r="C75">
        <v>35</v>
      </c>
      <c r="D75">
        <f t="shared" si="22"/>
        <v>36</v>
      </c>
      <c r="E75" s="4">
        <v>100</v>
      </c>
      <c r="F75" s="4">
        <f>1873-1819.4</f>
        <v>53.599999999999909</v>
      </c>
      <c r="G75" s="8">
        <f t="shared" ref="G75" si="23">LOG10(D75*100*E75/F75*1000)</f>
        <v>6.8271377110745179</v>
      </c>
      <c r="H75" s="3"/>
    </row>
    <row r="76" spans="1:8" x14ac:dyDescent="0.2">
      <c r="A76" s="4" t="s">
        <v>14</v>
      </c>
      <c r="B76">
        <v>15</v>
      </c>
      <c r="C76">
        <v>10</v>
      </c>
      <c r="D76">
        <f t="shared" ref="D76:D77" si="24">AVERAGE(B76:C76)</f>
        <v>12.5</v>
      </c>
      <c r="E76" s="4">
        <v>1000</v>
      </c>
      <c r="F76" s="4">
        <f>1885.9-1825.8</f>
        <v>60.100000000000136</v>
      </c>
      <c r="G76" s="8">
        <f>LOG10(D76*100*E76/F76*1000)</f>
        <v>7.3180355410053162</v>
      </c>
      <c r="H76" s="3"/>
    </row>
    <row r="77" spans="1:8" x14ac:dyDescent="0.2">
      <c r="A77" s="4" t="s">
        <v>13</v>
      </c>
      <c r="B77">
        <v>4</v>
      </c>
      <c r="C77">
        <v>17</v>
      </c>
      <c r="D77">
        <f t="shared" si="24"/>
        <v>10.5</v>
      </c>
      <c r="E77" s="4">
        <v>1</v>
      </c>
      <c r="F77" s="4">
        <f>1858.8-1805.5</f>
        <v>53.299999999999955</v>
      </c>
      <c r="G77" s="8">
        <f t="shared" ref="G77" si="25">LOG10(D77*100*E77/F77*1000)</f>
        <v>4.2944620900433659</v>
      </c>
      <c r="H77" s="3"/>
    </row>
    <row r="78" spans="1:8" x14ac:dyDescent="0.2">
      <c r="A78" s="4"/>
      <c r="B78" s="10"/>
      <c r="E78" s="4"/>
      <c r="F78" s="4"/>
      <c r="G78" s="8"/>
      <c r="H78" s="3"/>
    </row>
    <row r="79" spans="1:8" ht="51" x14ac:dyDescent="0.2">
      <c r="A79" s="2" t="s">
        <v>23</v>
      </c>
      <c r="B79" s="50" t="s">
        <v>0</v>
      </c>
      <c r="C79" s="50"/>
      <c r="D79" s="6" t="s">
        <v>1</v>
      </c>
      <c r="E79" s="6" t="s">
        <v>4</v>
      </c>
      <c r="F79" s="6" t="s">
        <v>2</v>
      </c>
      <c r="G79" s="7" t="s">
        <v>3</v>
      </c>
      <c r="H79" s="3"/>
    </row>
    <row r="80" spans="1:8" x14ac:dyDescent="0.2">
      <c r="A80" s="4" t="s">
        <v>11</v>
      </c>
      <c r="B80">
        <v>38</v>
      </c>
      <c r="C80">
        <v>35</v>
      </c>
      <c r="D80">
        <f>AVERAGE(B80:C80)</f>
        <v>36.5</v>
      </c>
      <c r="E80" s="4">
        <v>1000</v>
      </c>
      <c r="F80" s="4">
        <f>1926.9-1890.8</f>
        <v>36.100000000000136</v>
      </c>
      <c r="G80" s="8">
        <f>LOG10(D80*100*E80/F80*1000)</f>
        <v>8.004785662550816</v>
      </c>
      <c r="H80" s="3"/>
    </row>
    <row r="81" spans="1:8" x14ac:dyDescent="0.2">
      <c r="A81" s="4" t="s">
        <v>12</v>
      </c>
      <c r="B81">
        <v>47</v>
      </c>
      <c r="C81">
        <v>50</v>
      </c>
      <c r="D81">
        <f t="shared" ref="D81:D84" si="26">AVERAGE(B81:C81)</f>
        <v>48.5</v>
      </c>
      <c r="E81" s="4">
        <v>1000</v>
      </c>
      <c r="F81" s="4">
        <f>1820.9-1770.6</f>
        <v>50.300000000000182</v>
      </c>
      <c r="G81" s="8">
        <f>LOG10(D81*100*E81/F81*1000)</f>
        <v>7.9841737535463349</v>
      </c>
      <c r="H81" s="3"/>
    </row>
    <row r="82" spans="1:8" x14ac:dyDescent="0.2">
      <c r="A82" s="4" t="s">
        <v>9</v>
      </c>
      <c r="B82">
        <v>62</v>
      </c>
      <c r="C82">
        <v>60</v>
      </c>
      <c r="D82">
        <f t="shared" si="26"/>
        <v>61</v>
      </c>
      <c r="E82" s="4">
        <v>100</v>
      </c>
      <c r="F82" s="4">
        <f>1911.7-1846.5</f>
        <v>65.200000000000045</v>
      </c>
      <c r="G82" s="8">
        <f t="shared" ref="G82" si="27">LOG10(D82*100*E82/F82*1000)</f>
        <v>6.9710822392788465</v>
      </c>
      <c r="H82" s="3"/>
    </row>
    <row r="83" spans="1:8" x14ac:dyDescent="0.2">
      <c r="A83" s="4" t="s">
        <v>14</v>
      </c>
      <c r="B83">
        <v>93</v>
      </c>
      <c r="C83">
        <v>66</v>
      </c>
      <c r="D83">
        <f t="shared" si="26"/>
        <v>79.5</v>
      </c>
      <c r="E83" s="4">
        <v>10</v>
      </c>
      <c r="F83" s="4">
        <f>1866.1-1771.2</f>
        <v>94.899999999999864</v>
      </c>
      <c r="G83" s="8">
        <f>LOG10(D83*100*E83/F83*1000)</f>
        <v>5.9231009162291786</v>
      </c>
      <c r="H83" s="3"/>
    </row>
    <row r="84" spans="1:8" x14ac:dyDescent="0.2">
      <c r="A84" s="4" t="s">
        <v>13</v>
      </c>
      <c r="B84">
        <v>23</v>
      </c>
      <c r="C84">
        <v>17</v>
      </c>
      <c r="D84">
        <f t="shared" si="26"/>
        <v>20</v>
      </c>
      <c r="E84" s="4">
        <v>1</v>
      </c>
      <c r="F84" s="4">
        <f>1949.7-1874.8</f>
        <v>74.900000000000091</v>
      </c>
      <c r="G84" s="8">
        <f t="shared" ref="G84" si="28">LOG10(D84*100*E84/F84*1000)</f>
        <v>4.4265481779645146</v>
      </c>
      <c r="H84" s="3"/>
    </row>
    <row r="85" spans="1:8" x14ac:dyDescent="0.2">
      <c r="A85" s="4"/>
      <c r="E85" s="4"/>
      <c r="F85" s="1"/>
      <c r="G85" s="8"/>
      <c r="H85" s="3"/>
    </row>
    <row r="86" spans="1:8" ht="51" x14ac:dyDescent="0.2">
      <c r="A86" s="2" t="s">
        <v>24</v>
      </c>
      <c r="B86" s="50" t="s">
        <v>0</v>
      </c>
      <c r="C86" s="50"/>
      <c r="D86" s="6" t="s">
        <v>1</v>
      </c>
      <c r="E86" s="6" t="s">
        <v>4</v>
      </c>
      <c r="F86" s="6" t="s">
        <v>2</v>
      </c>
      <c r="G86" s="7" t="s">
        <v>3</v>
      </c>
      <c r="H86" s="3"/>
    </row>
    <row r="87" spans="1:8" x14ac:dyDescent="0.2">
      <c r="A87" s="4" t="s">
        <v>11</v>
      </c>
      <c r="B87">
        <v>42</v>
      </c>
      <c r="C87">
        <v>27</v>
      </c>
      <c r="D87">
        <f>AVERAGE(B87:C87)</f>
        <v>34.5</v>
      </c>
      <c r="E87" s="4">
        <v>1</v>
      </c>
      <c r="F87" s="4">
        <f>1861.7-1830.6</f>
        <v>31.100000000000136</v>
      </c>
      <c r="G87" s="8">
        <f>LOG10(D87*100*E87/F87*1000)</f>
        <v>5.0450587060464347</v>
      </c>
      <c r="H87" s="3"/>
    </row>
    <row r="88" spans="1:8" x14ac:dyDescent="0.2">
      <c r="A88" s="4" t="s">
        <v>12</v>
      </c>
      <c r="B88">
        <v>0</v>
      </c>
      <c r="C88">
        <v>0</v>
      </c>
      <c r="D88">
        <f t="shared" ref="D88:D91" si="29">AVERAGE(B88:C88)</f>
        <v>0</v>
      </c>
      <c r="E88" s="4">
        <v>1</v>
      </c>
      <c r="F88" s="4">
        <f>1921.4-1870.8</f>
        <v>50.600000000000136</v>
      </c>
      <c r="G88" s="8" t="e">
        <f>LOG10(D88*100*E88/F88*1000)</f>
        <v>#NUM!</v>
      </c>
      <c r="H88" s="3"/>
    </row>
    <row r="89" spans="1:8" x14ac:dyDescent="0.2">
      <c r="A89" s="4" t="s">
        <v>9</v>
      </c>
      <c r="B89">
        <v>1</v>
      </c>
      <c r="C89">
        <v>0</v>
      </c>
      <c r="D89">
        <f t="shared" si="29"/>
        <v>0.5</v>
      </c>
      <c r="E89" s="4">
        <v>1</v>
      </c>
      <c r="F89" s="4">
        <f>1932.5-1803.8</f>
        <v>128.70000000000005</v>
      </c>
      <c r="G89" s="8">
        <f t="shared" ref="G89" si="30">LOG10(D89*100*E89/F89*1000)</f>
        <v>2.5893914574316321</v>
      </c>
      <c r="H89" s="3"/>
    </row>
    <row r="90" spans="1:8" x14ac:dyDescent="0.2">
      <c r="A90" s="4" t="s">
        <v>14</v>
      </c>
      <c r="B90">
        <v>5</v>
      </c>
      <c r="C90">
        <v>6</v>
      </c>
      <c r="D90">
        <f t="shared" si="29"/>
        <v>5.5</v>
      </c>
      <c r="E90" s="4">
        <v>1</v>
      </c>
      <c r="F90" s="4">
        <f>1967.2-1851.3</f>
        <v>115.90000000000009</v>
      </c>
      <c r="G90" s="8">
        <f>LOG10(D90*100*E90/F90*1000)</f>
        <v>3.6762792535306477</v>
      </c>
      <c r="H90" s="3"/>
    </row>
    <row r="91" spans="1:8" x14ac:dyDescent="0.2">
      <c r="A91" s="4" t="s">
        <v>13</v>
      </c>
      <c r="B91">
        <v>4</v>
      </c>
      <c r="C91">
        <v>4</v>
      </c>
      <c r="D91">
        <f t="shared" si="29"/>
        <v>4</v>
      </c>
      <c r="E91" s="4">
        <v>1</v>
      </c>
      <c r="F91" s="4">
        <f>1870.9-1745.3</f>
        <v>125.60000000000014</v>
      </c>
      <c r="G91" s="8">
        <f t="shared" ref="G91" si="31">LOG10(D91*100*E91/F91*1000)</f>
        <v>3.5030703519267847</v>
      </c>
      <c r="H91" s="3"/>
    </row>
    <row r="92" spans="1:8" x14ac:dyDescent="0.2">
      <c r="A92" s="9"/>
      <c r="B92" s="10"/>
      <c r="C92" s="10"/>
      <c r="E92" s="9"/>
      <c r="F92" s="11"/>
      <c r="G92" s="8"/>
      <c r="H92" s="3"/>
    </row>
    <row r="93" spans="1:8" ht="51" x14ac:dyDescent="0.2">
      <c r="A93" s="2" t="s">
        <v>25</v>
      </c>
      <c r="B93" s="50" t="s">
        <v>0</v>
      </c>
      <c r="C93" s="50"/>
      <c r="D93" s="6" t="s">
        <v>1</v>
      </c>
      <c r="E93" s="6" t="s">
        <v>4</v>
      </c>
      <c r="F93" s="6" t="s">
        <v>2</v>
      </c>
      <c r="G93" s="7" t="s">
        <v>3</v>
      </c>
      <c r="H93" s="3"/>
    </row>
    <row r="94" spans="1:8" x14ac:dyDescent="0.2">
      <c r="A94" s="4" t="s">
        <v>11</v>
      </c>
      <c r="B94">
        <v>22</v>
      </c>
      <c r="C94">
        <v>13</v>
      </c>
      <c r="D94">
        <f>AVERAGE(B94:C94)</f>
        <v>17.5</v>
      </c>
      <c r="E94" s="4">
        <v>1000</v>
      </c>
      <c r="F94" s="4">
        <f>1733.2-1704.6</f>
        <v>28.600000000000136</v>
      </c>
      <c r="G94" s="8">
        <f>LOG10(D94*100*E94/F94*1000)</f>
        <v>7.7866720155572491</v>
      </c>
      <c r="H94" s="3"/>
    </row>
    <row r="95" spans="1:8" x14ac:dyDescent="0.2">
      <c r="A95" s="4" t="s">
        <v>12</v>
      </c>
      <c r="B95">
        <v>48</v>
      </c>
      <c r="C95">
        <v>50</v>
      </c>
      <c r="D95">
        <f t="shared" ref="D95:D98" si="32">AVERAGE(B95:C95)</f>
        <v>49</v>
      </c>
      <c r="E95" s="4">
        <v>100</v>
      </c>
      <c r="F95" s="4">
        <f>1744.9-1721.9</f>
        <v>23</v>
      </c>
      <c r="G95" s="8">
        <f>LOG10(D95*100*E95/F95*1000)</f>
        <v>7.3284682440109208</v>
      </c>
      <c r="H95" s="3"/>
    </row>
    <row r="96" spans="1:8" x14ac:dyDescent="0.2">
      <c r="A96" s="4" t="s">
        <v>9</v>
      </c>
      <c r="B96">
        <v>86</v>
      </c>
      <c r="C96">
        <v>72</v>
      </c>
      <c r="D96">
        <f t="shared" si="32"/>
        <v>79</v>
      </c>
      <c r="E96" s="4">
        <v>100</v>
      </c>
      <c r="F96" s="4">
        <f>1726.6-1683</f>
        <v>43.599999999999909</v>
      </c>
      <c r="G96" s="8">
        <f t="shared" ref="G96" si="33">LOG10(D96*100*E96/F96*1000)</f>
        <v>7.2581406020218564</v>
      </c>
    </row>
    <row r="97" spans="1:7" x14ac:dyDescent="0.2">
      <c r="A97" s="4" t="s">
        <v>14</v>
      </c>
      <c r="B97">
        <v>12</v>
      </c>
      <c r="C97">
        <v>17</v>
      </c>
      <c r="D97">
        <f t="shared" si="32"/>
        <v>14.5</v>
      </c>
      <c r="E97" s="4">
        <v>1</v>
      </c>
      <c r="F97" s="4">
        <f>2001.8-1821.4</f>
        <v>180.39999999999986</v>
      </c>
      <c r="G97" s="8">
        <f>LOG10(D97*100*E97/F97*1000)</f>
        <v>3.9051314690290524</v>
      </c>
    </row>
    <row r="98" spans="1:7" x14ac:dyDescent="0.2">
      <c r="A98" s="4" t="s">
        <v>13</v>
      </c>
      <c r="B98">
        <v>1</v>
      </c>
      <c r="C98">
        <v>1</v>
      </c>
      <c r="D98">
        <f t="shared" si="32"/>
        <v>1</v>
      </c>
      <c r="E98" s="4">
        <v>1</v>
      </c>
      <c r="F98" s="4">
        <f>1867.1-1759</f>
        <v>108.09999999999991</v>
      </c>
      <c r="G98" s="8">
        <f t="shared" ref="G98" si="34">LOG10(D98*100*E98/F98*1000)</f>
        <v>2.9661743060466899</v>
      </c>
    </row>
    <row r="100" spans="1:7" ht="51" x14ac:dyDescent="0.2">
      <c r="A100" s="2" t="s">
        <v>26</v>
      </c>
      <c r="B100" s="50" t="s">
        <v>0</v>
      </c>
      <c r="C100" s="50"/>
      <c r="D100" s="6" t="s">
        <v>1</v>
      </c>
      <c r="E100" s="6" t="s">
        <v>4</v>
      </c>
      <c r="F100" s="6" t="s">
        <v>2</v>
      </c>
      <c r="G100" s="7" t="s">
        <v>3</v>
      </c>
    </row>
    <row r="101" spans="1:7" x14ac:dyDescent="0.2">
      <c r="A101" s="4" t="s">
        <v>11</v>
      </c>
      <c r="B101">
        <v>0</v>
      </c>
      <c r="C101">
        <v>0</v>
      </c>
      <c r="D101">
        <f>AVERAGE(B101:C101)</f>
        <v>0</v>
      </c>
      <c r="E101" s="4">
        <v>1</v>
      </c>
      <c r="F101" s="4">
        <f>1828.7-1784.8</f>
        <v>43.900000000000091</v>
      </c>
      <c r="G101" s="8" t="e">
        <f>LOG10(D101*100*E101/F101*1000)</f>
        <v>#NUM!</v>
      </c>
    </row>
    <row r="102" spans="1:7" x14ac:dyDescent="0.2">
      <c r="A102" s="4" t="s">
        <v>12</v>
      </c>
      <c r="B102">
        <v>0</v>
      </c>
      <c r="C102">
        <v>0</v>
      </c>
      <c r="D102">
        <f t="shared" ref="D102:D105" si="35">AVERAGE(B102:C102)</f>
        <v>0</v>
      </c>
      <c r="E102" s="4">
        <v>1</v>
      </c>
      <c r="F102" s="4">
        <f>1906-1830.5</f>
        <v>75.5</v>
      </c>
      <c r="G102" s="8" t="e">
        <f>LOG10(D102*100*E102/F102*1000)</f>
        <v>#NUM!</v>
      </c>
    </row>
    <row r="103" spans="1:7" x14ac:dyDescent="0.2">
      <c r="A103" s="4" t="s">
        <v>9</v>
      </c>
      <c r="B103">
        <v>0</v>
      </c>
      <c r="C103">
        <v>0</v>
      </c>
      <c r="D103">
        <f t="shared" si="35"/>
        <v>0</v>
      </c>
      <c r="E103" s="4">
        <v>1</v>
      </c>
      <c r="F103" s="4">
        <f>1838.8-1774.5</f>
        <v>64.299999999999955</v>
      </c>
      <c r="G103" s="8" t="e">
        <f t="shared" ref="G103" si="36">LOG10(D103*100*E103/F103*1000)</f>
        <v>#NUM!</v>
      </c>
    </row>
    <row r="104" spans="1:7" x14ac:dyDescent="0.2">
      <c r="A104" s="4" t="s">
        <v>14</v>
      </c>
      <c r="B104">
        <v>0</v>
      </c>
      <c r="C104">
        <v>1</v>
      </c>
      <c r="D104">
        <f t="shared" si="35"/>
        <v>0.5</v>
      </c>
      <c r="E104" s="4">
        <v>1</v>
      </c>
      <c r="F104" s="4">
        <f>1830.6-1774.9</f>
        <v>55.699999999999818</v>
      </c>
      <c r="G104" s="8">
        <f>LOG10(D104*100*E104/F104*1000)</f>
        <v>2.9531148091622912</v>
      </c>
    </row>
    <row r="105" spans="1:7" x14ac:dyDescent="0.2">
      <c r="A105" s="4" t="s">
        <v>13</v>
      </c>
      <c r="B105">
        <v>0</v>
      </c>
      <c r="C105">
        <v>0</v>
      </c>
      <c r="D105">
        <f t="shared" si="35"/>
        <v>0</v>
      </c>
      <c r="E105" s="4">
        <v>1</v>
      </c>
      <c r="F105" s="4">
        <f>1922.3-1856</f>
        <v>66.299999999999955</v>
      </c>
      <c r="G105" s="8" t="e">
        <f t="shared" ref="G105" si="37">LOG10(D105*100*E105/F105*1000)</f>
        <v>#NUM!</v>
      </c>
    </row>
    <row r="107" spans="1:7" s="12" customFormat="1" x14ac:dyDescent="0.2"/>
    <row r="108" spans="1:7" ht="51" x14ac:dyDescent="0.2">
      <c r="A108" s="2" t="s">
        <v>77</v>
      </c>
      <c r="B108" s="50" t="s">
        <v>0</v>
      </c>
      <c r="C108" s="50"/>
      <c r="D108" s="6" t="s">
        <v>1</v>
      </c>
      <c r="E108" s="6" t="s">
        <v>4</v>
      </c>
      <c r="F108" s="6" t="s">
        <v>2</v>
      </c>
      <c r="G108" s="7" t="s">
        <v>3</v>
      </c>
    </row>
    <row r="109" spans="1:7" x14ac:dyDescent="0.2">
      <c r="A109" s="4" t="s">
        <v>11</v>
      </c>
      <c r="B109">
        <v>0</v>
      </c>
      <c r="D109">
        <f>AVERAGE(B109:C109)</f>
        <v>0</v>
      </c>
      <c r="E109" s="4">
        <v>1</v>
      </c>
      <c r="F109" s="4">
        <f>1715.7-1670.9</f>
        <v>44.799999999999955</v>
      </c>
      <c r="G109" s="8" t="e">
        <f>LOG10(D109*100*E109/F109*1000)</f>
        <v>#NUM!</v>
      </c>
    </row>
    <row r="110" spans="1:7" x14ac:dyDescent="0.2">
      <c r="A110" s="4" t="s">
        <v>12</v>
      </c>
      <c r="B110">
        <v>0</v>
      </c>
      <c r="D110">
        <f t="shared" ref="D110:D111" si="38">AVERAGE(B110:C110)</f>
        <v>0</v>
      </c>
      <c r="E110" s="4">
        <v>1</v>
      </c>
      <c r="F110" s="4">
        <f>1877.4-1806.2</f>
        <v>71.200000000000045</v>
      </c>
      <c r="G110" s="8" t="e">
        <f>LOG10(D110*100*E110/F110*1000)</f>
        <v>#NUM!</v>
      </c>
    </row>
    <row r="111" spans="1:7" x14ac:dyDescent="0.2">
      <c r="A111" s="4" t="s">
        <v>9</v>
      </c>
      <c r="B111">
        <v>0</v>
      </c>
      <c r="D111">
        <f t="shared" si="38"/>
        <v>0</v>
      </c>
      <c r="E111" s="4">
        <v>1</v>
      </c>
      <c r="F111" s="4">
        <f>1892-1794.5</f>
        <v>97.5</v>
      </c>
      <c r="G111" s="8" t="e">
        <f t="shared" ref="G111" si="39">LOG10(D111*100*E111/F111*1000)</f>
        <v>#NUM!</v>
      </c>
    </row>
    <row r="112" spans="1:7" x14ac:dyDescent="0.2">
      <c r="A112" s="4" t="s">
        <v>14</v>
      </c>
      <c r="B112">
        <v>0</v>
      </c>
      <c r="D112">
        <f t="shared" ref="D112:D113" si="40">AVERAGE(B112:C112)</f>
        <v>0</v>
      </c>
      <c r="E112" s="4">
        <v>1</v>
      </c>
      <c r="F112" s="4">
        <f>1977.5-1772.9</f>
        <v>204.59999999999991</v>
      </c>
      <c r="G112" s="8" t="e">
        <f>LOG10(D112*100*E112/F112*1000)</f>
        <v>#NUM!</v>
      </c>
    </row>
    <row r="113" spans="1:7" x14ac:dyDescent="0.2">
      <c r="A113" s="4" t="s">
        <v>13</v>
      </c>
      <c r="B113">
        <v>0</v>
      </c>
      <c r="D113">
        <f t="shared" si="40"/>
        <v>0</v>
      </c>
      <c r="E113" s="4">
        <v>1</v>
      </c>
      <c r="F113" s="4">
        <f>1939.7-1810.6</f>
        <v>129.10000000000014</v>
      </c>
      <c r="G113" s="8" t="e">
        <f t="shared" ref="G113" si="41">LOG10(D113*100*E113/F113*1000)</f>
        <v>#NUM!</v>
      </c>
    </row>
    <row r="115" spans="1:7" ht="51" x14ac:dyDescent="0.2">
      <c r="A115" s="2" t="s">
        <v>78</v>
      </c>
      <c r="B115" s="50" t="s">
        <v>0</v>
      </c>
      <c r="C115" s="50"/>
      <c r="D115" s="6" t="s">
        <v>1</v>
      </c>
      <c r="E115" s="6" t="s">
        <v>4</v>
      </c>
      <c r="F115" s="6" t="s">
        <v>2</v>
      </c>
      <c r="G115" s="7" t="s">
        <v>3</v>
      </c>
    </row>
    <row r="116" spans="1:7" x14ac:dyDescent="0.2">
      <c r="A116" s="4" t="s">
        <v>11</v>
      </c>
      <c r="B116">
        <v>0</v>
      </c>
      <c r="D116">
        <f>AVERAGE(B116:C116)</f>
        <v>0</v>
      </c>
      <c r="E116" s="4">
        <v>1</v>
      </c>
      <c r="F116" s="4">
        <f>1768.2-1746.3</f>
        <v>21.900000000000091</v>
      </c>
      <c r="G116" s="8" t="e">
        <f>LOG10(D116*100*E116/F116*1000)</f>
        <v>#NUM!</v>
      </c>
    </row>
    <row r="117" spans="1:7" x14ac:dyDescent="0.2">
      <c r="A117" s="4" t="s">
        <v>12</v>
      </c>
      <c r="B117">
        <v>0</v>
      </c>
      <c r="D117">
        <f t="shared" ref="D117:D120" si="42">AVERAGE(B117:C117)</f>
        <v>0</v>
      </c>
      <c r="E117" s="4">
        <v>1</v>
      </c>
      <c r="F117" s="4">
        <f>1867.8-1820.7</f>
        <v>47.099999999999909</v>
      </c>
      <c r="G117" s="8" t="e">
        <f>LOG10(D117*100*E117/F117*1000)</f>
        <v>#NUM!</v>
      </c>
    </row>
    <row r="118" spans="1:7" x14ac:dyDescent="0.2">
      <c r="A118" s="4" t="s">
        <v>9</v>
      </c>
      <c r="B118">
        <v>0</v>
      </c>
      <c r="D118">
        <f t="shared" si="42"/>
        <v>0</v>
      </c>
      <c r="E118" s="4">
        <v>1</v>
      </c>
      <c r="F118" s="4">
        <f>1896.2-1784.7</f>
        <v>111.5</v>
      </c>
      <c r="G118" s="8" t="e">
        <f t="shared" ref="G118" si="43">LOG10(D118*100*E118/F118*1000)</f>
        <v>#NUM!</v>
      </c>
    </row>
    <row r="119" spans="1:7" x14ac:dyDescent="0.2">
      <c r="A119" s="4" t="s">
        <v>14</v>
      </c>
      <c r="B119">
        <v>0</v>
      </c>
      <c r="D119">
        <f t="shared" si="42"/>
        <v>0</v>
      </c>
      <c r="E119" s="4">
        <v>1</v>
      </c>
      <c r="F119" s="4">
        <f>1945.6-1813.6</f>
        <v>132</v>
      </c>
      <c r="G119" s="8" t="e">
        <f>LOG10(D119*100*E119/F119*1000)</f>
        <v>#NUM!</v>
      </c>
    </row>
    <row r="120" spans="1:7" x14ac:dyDescent="0.2">
      <c r="A120" s="4" t="s">
        <v>13</v>
      </c>
      <c r="B120">
        <v>0</v>
      </c>
      <c r="D120">
        <f t="shared" si="42"/>
        <v>0</v>
      </c>
      <c r="E120" s="4">
        <v>1</v>
      </c>
      <c r="F120" s="4">
        <f>1861-1812.8</f>
        <v>48.200000000000045</v>
      </c>
      <c r="G120" s="8" t="e">
        <f t="shared" ref="G120" si="44">LOG10(D120*100*E120/F120*1000)</f>
        <v>#NUM!</v>
      </c>
    </row>
    <row r="122" spans="1:7" ht="51" x14ac:dyDescent="0.2">
      <c r="A122" s="2" t="s">
        <v>79</v>
      </c>
      <c r="B122" s="50" t="s">
        <v>0</v>
      </c>
      <c r="C122" s="50"/>
      <c r="D122" s="6" t="s">
        <v>1</v>
      </c>
      <c r="E122" s="6" t="s">
        <v>4</v>
      </c>
      <c r="F122" s="6" t="s">
        <v>2</v>
      </c>
      <c r="G122" s="7" t="s">
        <v>3</v>
      </c>
    </row>
    <row r="123" spans="1:7" x14ac:dyDescent="0.2">
      <c r="A123" s="4" t="s">
        <v>11</v>
      </c>
      <c r="B123">
        <v>0</v>
      </c>
      <c r="D123">
        <f>AVERAGE(B123:C123)</f>
        <v>0</v>
      </c>
      <c r="E123" s="4">
        <v>1</v>
      </c>
      <c r="F123" s="4">
        <f>1837.9-1780.7</f>
        <v>57.200000000000045</v>
      </c>
      <c r="G123" s="8" t="e">
        <f>LOG10(D123*100*E123/F123*1000)</f>
        <v>#NUM!</v>
      </c>
    </row>
    <row r="124" spans="1:7" x14ac:dyDescent="0.2">
      <c r="A124" s="4" t="s">
        <v>12</v>
      </c>
      <c r="B124">
        <v>0</v>
      </c>
      <c r="D124">
        <f t="shared" ref="D124:D127" si="45">AVERAGE(B124:C124)</f>
        <v>0</v>
      </c>
      <c r="E124" s="4">
        <v>1</v>
      </c>
      <c r="F124" s="4">
        <f>1824.3-1782.5</f>
        <v>41.799999999999955</v>
      </c>
      <c r="G124" s="8" t="e">
        <f>LOG10(D124*100*E124/F124*1000)</f>
        <v>#NUM!</v>
      </c>
    </row>
    <row r="125" spans="1:7" x14ac:dyDescent="0.2">
      <c r="A125" s="4" t="s">
        <v>9</v>
      </c>
      <c r="B125">
        <v>0</v>
      </c>
      <c r="D125">
        <f t="shared" si="45"/>
        <v>0</v>
      </c>
      <c r="E125" s="4">
        <v>1</v>
      </c>
      <c r="F125" s="4">
        <f>1964.6-1863.6</f>
        <v>101</v>
      </c>
      <c r="G125" s="8" t="e">
        <f t="shared" ref="G125" si="46">LOG10(D125*100*E125/F125*1000)</f>
        <v>#NUM!</v>
      </c>
    </row>
    <row r="126" spans="1:7" x14ac:dyDescent="0.2">
      <c r="A126" s="4" t="s">
        <v>14</v>
      </c>
      <c r="B126">
        <v>0</v>
      </c>
      <c r="D126">
        <f t="shared" si="45"/>
        <v>0</v>
      </c>
      <c r="E126" s="4">
        <v>1</v>
      </c>
      <c r="F126" s="4">
        <f>2000.1-1790.5</f>
        <v>209.59999999999991</v>
      </c>
      <c r="G126" s="8" t="e">
        <f>LOG10(D126*100*E126/F126*1000)</f>
        <v>#NUM!</v>
      </c>
    </row>
    <row r="127" spans="1:7" x14ac:dyDescent="0.2">
      <c r="A127" s="4" t="s">
        <v>13</v>
      </c>
      <c r="B127">
        <v>0</v>
      </c>
      <c r="D127">
        <f t="shared" si="45"/>
        <v>0</v>
      </c>
      <c r="E127" s="4">
        <v>1</v>
      </c>
      <c r="F127" s="4">
        <f>1856.7-1760.9</f>
        <v>95.799999999999955</v>
      </c>
      <c r="G127" s="8" t="e">
        <f t="shared" ref="G127" si="47">LOG10(D127*100*E127/F127*1000)</f>
        <v>#NUM!</v>
      </c>
    </row>
    <row r="129" spans="1:8" ht="51" x14ac:dyDescent="0.2">
      <c r="A129" s="2" t="s">
        <v>80</v>
      </c>
      <c r="B129" s="50" t="s">
        <v>0</v>
      </c>
      <c r="C129" s="50"/>
      <c r="D129" s="6" t="s">
        <v>1</v>
      </c>
      <c r="E129" s="6" t="s">
        <v>4</v>
      </c>
      <c r="F129" s="6" t="s">
        <v>2</v>
      </c>
      <c r="G129" s="7" t="s">
        <v>3</v>
      </c>
    </row>
    <row r="130" spans="1:8" x14ac:dyDescent="0.2">
      <c r="A130" s="4" t="s">
        <v>11</v>
      </c>
      <c r="B130">
        <v>0</v>
      </c>
      <c r="D130">
        <f>AVERAGE(B130:C130)</f>
        <v>0</v>
      </c>
      <c r="E130" s="4">
        <v>1</v>
      </c>
      <c r="F130" s="4">
        <f>2002.9-1980.3</f>
        <v>22.600000000000136</v>
      </c>
      <c r="G130" s="8" t="e">
        <f>LOG10(D130*100*E130/F130*1000)</f>
        <v>#NUM!</v>
      </c>
    </row>
    <row r="131" spans="1:8" x14ac:dyDescent="0.2">
      <c r="A131" s="4" t="s">
        <v>12</v>
      </c>
      <c r="B131">
        <v>0</v>
      </c>
      <c r="D131">
        <f t="shared" ref="D131:D134" si="48">AVERAGE(B131:C131)</f>
        <v>0</v>
      </c>
      <c r="E131" s="4">
        <v>1</v>
      </c>
      <c r="F131" s="4">
        <f>1775.4-1759.2</f>
        <v>16.200000000000045</v>
      </c>
      <c r="G131" s="8" t="e">
        <f>LOG10(D131*100*E131/F131*1000)</f>
        <v>#NUM!</v>
      </c>
    </row>
    <row r="132" spans="1:8" x14ac:dyDescent="0.2">
      <c r="A132" s="4" t="s">
        <v>9</v>
      </c>
      <c r="B132">
        <v>0</v>
      </c>
      <c r="D132">
        <f t="shared" si="48"/>
        <v>0</v>
      </c>
      <c r="E132" s="4">
        <v>1</v>
      </c>
      <c r="F132" s="4">
        <f>2002.4-1824.5</f>
        <v>177.90000000000009</v>
      </c>
      <c r="G132" s="8" t="e">
        <f t="shared" ref="G132" si="49">LOG10(D132*100*E132/F132*1000)</f>
        <v>#NUM!</v>
      </c>
    </row>
    <row r="133" spans="1:8" x14ac:dyDescent="0.2">
      <c r="A133" s="4" t="s">
        <v>14</v>
      </c>
      <c r="B133">
        <v>0</v>
      </c>
      <c r="D133">
        <f t="shared" si="48"/>
        <v>0</v>
      </c>
      <c r="E133" s="4">
        <v>1</v>
      </c>
      <c r="F133" s="4">
        <f>1872.2-1750.5</f>
        <v>121.70000000000005</v>
      </c>
      <c r="G133" s="8" t="e">
        <f>LOG10(D133*100*E133/F133*1000)</f>
        <v>#NUM!</v>
      </c>
    </row>
    <row r="134" spans="1:8" x14ac:dyDescent="0.2">
      <c r="A134" s="4" t="s">
        <v>13</v>
      </c>
      <c r="B134">
        <v>0</v>
      </c>
      <c r="D134">
        <f t="shared" si="48"/>
        <v>0</v>
      </c>
      <c r="E134" s="4">
        <v>1</v>
      </c>
      <c r="F134" s="4">
        <f>1973.7-1893.7</f>
        <v>80</v>
      </c>
      <c r="G134" s="8" t="e">
        <f t="shared" ref="G134" si="50">LOG10(D134*100*E134/F134*1000)</f>
        <v>#NUM!</v>
      </c>
    </row>
    <row r="136" spans="1:8" ht="51" x14ac:dyDescent="0.2">
      <c r="A136" s="2" t="s">
        <v>81</v>
      </c>
      <c r="B136" s="50" t="s">
        <v>0</v>
      </c>
      <c r="C136" s="50"/>
      <c r="D136" s="6" t="s">
        <v>1</v>
      </c>
      <c r="E136" s="6" t="s">
        <v>4</v>
      </c>
      <c r="F136" s="6" t="s">
        <v>2</v>
      </c>
      <c r="G136" s="7" t="s">
        <v>3</v>
      </c>
    </row>
    <row r="137" spans="1:8" x14ac:dyDescent="0.2">
      <c r="A137" s="4" t="s">
        <v>11</v>
      </c>
      <c r="B137">
        <v>0</v>
      </c>
      <c r="D137">
        <f>AVERAGE(B137:C137)</f>
        <v>0</v>
      </c>
      <c r="E137" s="4">
        <v>1</v>
      </c>
      <c r="F137" s="4">
        <f>1806.9-1787</f>
        <v>19.900000000000091</v>
      </c>
      <c r="G137" s="8" t="e">
        <f>LOG10(D137*100*E137/F137*1000)</f>
        <v>#NUM!</v>
      </c>
    </row>
    <row r="138" spans="1:8" x14ac:dyDescent="0.2">
      <c r="A138" s="4" t="s">
        <v>12</v>
      </c>
      <c r="B138">
        <v>0</v>
      </c>
      <c r="D138">
        <f t="shared" ref="D138:D141" si="51">AVERAGE(B138:C138)</f>
        <v>0</v>
      </c>
      <c r="E138" s="4">
        <v>1</v>
      </c>
      <c r="F138" s="4">
        <f>1857.4-1847</f>
        <v>10.400000000000091</v>
      </c>
      <c r="G138" s="8" t="e">
        <f>LOG10(D138*100*E138/F138*1000)</f>
        <v>#NUM!</v>
      </c>
    </row>
    <row r="139" spans="1:8" x14ac:dyDescent="0.2">
      <c r="A139" s="4" t="s">
        <v>9</v>
      </c>
      <c r="B139">
        <v>0</v>
      </c>
      <c r="D139">
        <f t="shared" si="51"/>
        <v>0</v>
      </c>
      <c r="E139" s="4">
        <v>1</v>
      </c>
      <c r="F139" s="4">
        <f>1965.8-1793.1</f>
        <v>172.70000000000005</v>
      </c>
      <c r="G139" s="8" t="e">
        <f t="shared" ref="G139" si="52">LOG10(D139*100*E139/F139*1000)</f>
        <v>#NUM!</v>
      </c>
    </row>
    <row r="140" spans="1:8" x14ac:dyDescent="0.2">
      <c r="A140" s="4" t="s">
        <v>14</v>
      </c>
      <c r="B140">
        <v>0</v>
      </c>
      <c r="D140">
        <f t="shared" si="51"/>
        <v>0</v>
      </c>
      <c r="E140" s="4">
        <v>1</v>
      </c>
      <c r="F140" s="4">
        <f>1938.9-1738.4</f>
        <v>200.5</v>
      </c>
      <c r="G140" s="8" t="e">
        <f>LOG10(D140*100*E140/F140*1000)</f>
        <v>#NUM!</v>
      </c>
    </row>
    <row r="141" spans="1:8" x14ac:dyDescent="0.2">
      <c r="A141" s="4" t="s">
        <v>13</v>
      </c>
      <c r="B141">
        <v>0</v>
      </c>
      <c r="D141">
        <f t="shared" si="51"/>
        <v>0</v>
      </c>
      <c r="E141" s="4">
        <v>1</v>
      </c>
      <c r="F141" s="4">
        <f>2047.3-1813.3</f>
        <v>234</v>
      </c>
      <c r="G141" s="8" t="e">
        <f t="shared" ref="G141" si="53">LOG10(D141*100*E141/F141*1000)</f>
        <v>#NUM!</v>
      </c>
    </row>
    <row r="142" spans="1:8" s="12" customFormat="1" x14ac:dyDescent="0.2">
      <c r="A142" s="20"/>
      <c r="E142" s="20"/>
      <c r="F142" s="20"/>
      <c r="G142" s="13"/>
    </row>
    <row r="143" spans="1:8" ht="51" x14ac:dyDescent="0.2">
      <c r="A143" s="2" t="s">
        <v>82</v>
      </c>
      <c r="B143" s="50" t="s">
        <v>0</v>
      </c>
      <c r="C143" s="50"/>
      <c r="D143" s="6" t="s">
        <v>1</v>
      </c>
      <c r="E143" s="6" t="s">
        <v>4</v>
      </c>
      <c r="F143" s="6" t="s">
        <v>2</v>
      </c>
      <c r="G143" s="7" t="s">
        <v>3</v>
      </c>
      <c r="H143" s="3"/>
    </row>
    <row r="144" spans="1:8" x14ac:dyDescent="0.2">
      <c r="A144" s="4" t="s">
        <v>11</v>
      </c>
      <c r="B144">
        <v>1</v>
      </c>
      <c r="C144">
        <v>0</v>
      </c>
      <c r="D144">
        <f>AVERAGE(B144:C144)</f>
        <v>0.5</v>
      </c>
      <c r="E144" s="4">
        <v>1</v>
      </c>
      <c r="F144" s="4">
        <f>1892.9-1843</f>
        <v>49.900000000000091</v>
      </c>
      <c r="G144" s="8">
        <f>LOG10(D144*100*E144/F144*1000)</f>
        <v>3.0008694587126281</v>
      </c>
      <c r="H144" s="3"/>
    </row>
    <row r="145" spans="1:8" x14ac:dyDescent="0.2">
      <c r="A145" s="4" t="s">
        <v>12</v>
      </c>
      <c r="B145">
        <v>2</v>
      </c>
      <c r="C145">
        <v>0</v>
      </c>
      <c r="D145">
        <f t="shared" ref="D145:D148" si="54">AVERAGE(B145:C145)</f>
        <v>1</v>
      </c>
      <c r="E145" s="4">
        <v>1</v>
      </c>
      <c r="F145" s="4">
        <f>1922.2-1802.9</f>
        <v>119.29999999999995</v>
      </c>
      <c r="G145" s="8">
        <f>LOG10(D145*100*E145/F145*1000)</f>
        <v>2.9233595563296584</v>
      </c>
      <c r="H145" s="3"/>
    </row>
    <row r="146" spans="1:8" x14ac:dyDescent="0.2">
      <c r="A146" s="4" t="s">
        <v>9</v>
      </c>
      <c r="B146">
        <v>60</v>
      </c>
      <c r="C146">
        <v>55</v>
      </c>
      <c r="D146">
        <f t="shared" si="54"/>
        <v>57.5</v>
      </c>
      <c r="E146" s="4">
        <v>10</v>
      </c>
      <c r="F146" s="4">
        <f>1911.9-1779.7</f>
        <v>132.20000000000005</v>
      </c>
      <c r="G146" s="8">
        <f t="shared" ref="G146" si="55">LOG10(D146*100*E146/F146*1000)</f>
        <v>5.6384363895400087</v>
      </c>
      <c r="H146" s="3"/>
    </row>
    <row r="147" spans="1:8" x14ac:dyDescent="0.2">
      <c r="A147" s="4" t="s">
        <v>14</v>
      </c>
      <c r="B147">
        <v>12</v>
      </c>
      <c r="C147">
        <v>7</v>
      </c>
      <c r="D147">
        <f t="shared" si="54"/>
        <v>9.5</v>
      </c>
      <c r="E147" s="4">
        <v>100</v>
      </c>
      <c r="F147" s="4">
        <f>1851.2-1806</f>
        <v>45.200000000000045</v>
      </c>
      <c r="G147" s="8">
        <f>LOG10(D147*100*E147/F147*1000)</f>
        <v>6.3225851704774652</v>
      </c>
      <c r="H147" s="3"/>
    </row>
    <row r="148" spans="1:8" x14ac:dyDescent="0.2">
      <c r="A148" s="4" t="s">
        <v>13</v>
      </c>
      <c r="B148">
        <v>9</v>
      </c>
      <c r="C148">
        <v>8</v>
      </c>
      <c r="D148">
        <f t="shared" si="54"/>
        <v>8.5</v>
      </c>
      <c r="E148" s="4">
        <v>1000</v>
      </c>
      <c r="F148" s="4">
        <f>1825.4-1781</f>
        <v>44.400000000000091</v>
      </c>
      <c r="G148" s="8">
        <f t="shared" ref="G148" si="56">LOG10(D148*100*E148/F148*1000)</f>
        <v>7.2820359555996719</v>
      </c>
      <c r="H148" s="3"/>
    </row>
    <row r="149" spans="1:8" x14ac:dyDescent="0.2">
      <c r="A149" s="4"/>
      <c r="B149" s="10"/>
      <c r="E149" s="4"/>
      <c r="F149" s="4"/>
      <c r="G149" s="8"/>
      <c r="H149" s="3"/>
    </row>
    <row r="150" spans="1:8" ht="51" x14ac:dyDescent="0.2">
      <c r="A150" s="2" t="s">
        <v>83</v>
      </c>
      <c r="B150" s="50" t="s">
        <v>0</v>
      </c>
      <c r="C150" s="50"/>
      <c r="D150" s="6" t="s">
        <v>1</v>
      </c>
      <c r="E150" s="6" t="s">
        <v>4</v>
      </c>
      <c r="F150" s="6" t="s">
        <v>2</v>
      </c>
      <c r="G150" s="7" t="s">
        <v>3</v>
      </c>
      <c r="H150" s="3"/>
    </row>
    <row r="151" spans="1:8" x14ac:dyDescent="0.2">
      <c r="A151" s="4" t="s">
        <v>11</v>
      </c>
      <c r="B151">
        <v>39</v>
      </c>
      <c r="C151">
        <v>39</v>
      </c>
      <c r="D151">
        <f>AVERAGE(B151:C151)</f>
        <v>39</v>
      </c>
      <c r="E151" s="4">
        <v>1</v>
      </c>
      <c r="F151" s="4">
        <f>1879.5-1838.4</f>
        <v>41.099999999999909</v>
      </c>
      <c r="G151" s="8">
        <f>LOG10(D151*100*E151/F151*1000)</f>
        <v>4.9772227851504312</v>
      </c>
      <c r="H151" s="3"/>
    </row>
    <row r="152" spans="1:8" x14ac:dyDescent="0.2">
      <c r="A152" s="4" t="s">
        <v>12</v>
      </c>
      <c r="B152">
        <v>1</v>
      </c>
      <c r="C152">
        <v>0</v>
      </c>
      <c r="D152">
        <f t="shared" ref="D152:D155" si="57">AVERAGE(B152:C152)</f>
        <v>0.5</v>
      </c>
      <c r="E152" s="4">
        <v>1</v>
      </c>
      <c r="F152" s="4">
        <f>1952.2-1834.1</f>
        <v>118.10000000000014</v>
      </c>
      <c r="G152" s="8">
        <f>LOG10(D152*100*E152/F152*1000)</f>
        <v>2.6267201067225034</v>
      </c>
      <c r="H152" s="3"/>
    </row>
    <row r="153" spans="1:8" x14ac:dyDescent="0.2">
      <c r="A153" s="4" t="s">
        <v>9</v>
      </c>
      <c r="B153">
        <v>19</v>
      </c>
      <c r="C153">
        <v>26</v>
      </c>
      <c r="D153">
        <f t="shared" si="57"/>
        <v>22.5</v>
      </c>
      <c r="E153" s="4">
        <v>100</v>
      </c>
      <c r="F153" s="4">
        <f>1773.4-1659</f>
        <v>114.40000000000009</v>
      </c>
      <c r="G153" s="8">
        <f t="shared" ref="G153" si="58">LOG10(D153*100*E153/F153*1000)</f>
        <v>6.2937564936543566</v>
      </c>
      <c r="H153" s="3"/>
    </row>
    <row r="154" spans="1:8" x14ac:dyDescent="0.2">
      <c r="A154" s="4" t="s">
        <v>14</v>
      </c>
      <c r="B154">
        <v>23</v>
      </c>
      <c r="C154">
        <v>23</v>
      </c>
      <c r="D154">
        <f t="shared" si="57"/>
        <v>23</v>
      </c>
      <c r="E154" s="4">
        <v>10</v>
      </c>
      <c r="F154" s="4">
        <f>1817.5-1755</f>
        <v>62.5</v>
      </c>
      <c r="G154" s="8">
        <f>LOG10(D154*100*E154/F154*1000)</f>
        <v>5.5658478186735181</v>
      </c>
      <c r="H154" s="3"/>
    </row>
    <row r="155" spans="1:8" x14ac:dyDescent="0.2">
      <c r="A155" s="4" t="s">
        <v>13</v>
      </c>
      <c r="B155">
        <v>56</v>
      </c>
      <c r="C155">
        <v>64</v>
      </c>
      <c r="D155">
        <f t="shared" si="57"/>
        <v>60</v>
      </c>
      <c r="E155" s="4">
        <v>10</v>
      </c>
      <c r="F155" s="4">
        <f>1886.7-1820</f>
        <v>66.700000000000045</v>
      </c>
      <c r="G155" s="8">
        <f t="shared" ref="G155" si="59">LOG10(D155*100*E155/F155*1000)</f>
        <v>5.9540254164670943</v>
      </c>
      <c r="H155" s="3"/>
    </row>
    <row r="156" spans="1:8" x14ac:dyDescent="0.2">
      <c r="A156" s="4"/>
      <c r="E156" s="4"/>
      <c r="F156" s="1"/>
      <c r="G156" s="8"/>
      <c r="H156" s="3"/>
    </row>
    <row r="157" spans="1:8" ht="51" x14ac:dyDescent="0.2">
      <c r="A157" s="2" t="s">
        <v>84</v>
      </c>
      <c r="B157" s="50" t="s">
        <v>0</v>
      </c>
      <c r="C157" s="50"/>
      <c r="D157" s="6" t="s">
        <v>1</v>
      </c>
      <c r="E157" s="6" t="s">
        <v>4</v>
      </c>
      <c r="F157" s="6" t="s">
        <v>2</v>
      </c>
      <c r="G157" s="7" t="s">
        <v>3</v>
      </c>
      <c r="H157" s="3"/>
    </row>
    <row r="158" spans="1:8" x14ac:dyDescent="0.2">
      <c r="A158" s="4" t="s">
        <v>11</v>
      </c>
      <c r="B158">
        <v>0</v>
      </c>
      <c r="C158">
        <v>0</v>
      </c>
      <c r="D158">
        <f>AVERAGE(B158:C158)</f>
        <v>0</v>
      </c>
      <c r="E158" s="4">
        <v>1</v>
      </c>
      <c r="F158" s="4">
        <f>1905.6-1759.2</f>
        <v>146.39999999999986</v>
      </c>
      <c r="G158" s="8" t="e">
        <f>LOG10(D158*100*E158/F158*1000)</f>
        <v>#NUM!</v>
      </c>
      <c r="H158" s="3"/>
    </row>
    <row r="159" spans="1:8" x14ac:dyDescent="0.2">
      <c r="A159" s="4" t="s">
        <v>12</v>
      </c>
      <c r="B159">
        <v>0</v>
      </c>
      <c r="C159">
        <v>0</v>
      </c>
      <c r="D159">
        <f t="shared" ref="D159:D162" si="60">AVERAGE(B159:C159)</f>
        <v>0</v>
      </c>
      <c r="E159" s="4">
        <v>1</v>
      </c>
      <c r="F159" s="4">
        <f>1956.6-1734.8</f>
        <v>221.79999999999995</v>
      </c>
      <c r="G159" s="8" t="e">
        <f>LOG10(D159*100*E159/F159*1000)</f>
        <v>#NUM!</v>
      </c>
      <c r="H159" s="3"/>
    </row>
    <row r="160" spans="1:8" x14ac:dyDescent="0.2">
      <c r="A160" s="4" t="s">
        <v>9</v>
      </c>
      <c r="B160">
        <v>1</v>
      </c>
      <c r="C160">
        <v>0</v>
      </c>
      <c r="D160">
        <f t="shared" si="60"/>
        <v>0.5</v>
      </c>
      <c r="E160" s="4">
        <v>1</v>
      </c>
      <c r="F160" s="4">
        <f>1936.1-1732.7</f>
        <v>203.39999999999986</v>
      </c>
      <c r="G160" s="8">
        <f t="shared" ref="G160" si="61">LOG10(D160*100*E160/F160*1000)</f>
        <v>2.3906190557492932</v>
      </c>
      <c r="H160" s="3"/>
    </row>
    <row r="161" spans="1:8" x14ac:dyDescent="0.2">
      <c r="A161" s="4" t="s">
        <v>14</v>
      </c>
      <c r="B161">
        <v>51</v>
      </c>
      <c r="C161">
        <v>49</v>
      </c>
      <c r="D161">
        <f t="shared" si="60"/>
        <v>50</v>
      </c>
      <c r="E161" s="4">
        <v>100</v>
      </c>
      <c r="F161" s="4">
        <f>1997.8-1815</f>
        <v>182.79999999999995</v>
      </c>
      <c r="G161" s="8">
        <f>LOG10(D161*100*E161/F161*1000)</f>
        <v>6.4369938129382067</v>
      </c>
      <c r="H161" s="3"/>
    </row>
    <row r="162" spans="1:8" x14ac:dyDescent="0.2">
      <c r="A162" s="4" t="s">
        <v>13</v>
      </c>
      <c r="B162">
        <v>59</v>
      </c>
      <c r="C162">
        <v>60</v>
      </c>
      <c r="D162">
        <f t="shared" si="60"/>
        <v>59.5</v>
      </c>
      <c r="E162" s="4">
        <v>1</v>
      </c>
      <c r="F162" s="4">
        <f>1984.9-1801.8</f>
        <v>183.10000000000014</v>
      </c>
      <c r="G162" s="8">
        <f t="shared" ref="G162" si="62">LOG10(D162*100*E162/F162*1000)</f>
        <v>4.5118286214268526</v>
      </c>
      <c r="H162" s="3"/>
    </row>
    <row r="163" spans="1:8" x14ac:dyDescent="0.2">
      <c r="A163" s="9"/>
      <c r="B163" s="10"/>
      <c r="C163" s="10"/>
      <c r="E163" s="9"/>
      <c r="F163" s="11"/>
      <c r="G163" s="8"/>
      <c r="H163" s="3"/>
    </row>
    <row r="164" spans="1:8" ht="51" x14ac:dyDescent="0.2">
      <c r="A164" s="2" t="s">
        <v>85</v>
      </c>
      <c r="B164" s="50" t="s">
        <v>0</v>
      </c>
      <c r="C164" s="50"/>
      <c r="D164" s="6" t="s">
        <v>1</v>
      </c>
      <c r="E164" s="6" t="s">
        <v>4</v>
      </c>
      <c r="F164" s="6" t="s">
        <v>2</v>
      </c>
      <c r="G164" s="7" t="s">
        <v>3</v>
      </c>
      <c r="H164" s="3"/>
    </row>
    <row r="165" spans="1:8" x14ac:dyDescent="0.2">
      <c r="A165" s="4" t="s">
        <v>11</v>
      </c>
      <c r="B165">
        <v>13</v>
      </c>
      <c r="C165">
        <v>7</v>
      </c>
      <c r="D165">
        <f>AVERAGE(B165:C165)</f>
        <v>10</v>
      </c>
      <c r="E165" s="4">
        <v>1</v>
      </c>
      <c r="F165" s="4">
        <f>1899.2-1797.6</f>
        <v>101.60000000000014</v>
      </c>
      <c r="G165" s="8">
        <f>LOG10(D165*100*E165/F165*1000)</f>
        <v>3.993106292052099</v>
      </c>
      <c r="H165" s="3"/>
    </row>
    <row r="166" spans="1:8" x14ac:dyDescent="0.2">
      <c r="A166" s="4" t="s">
        <v>12</v>
      </c>
      <c r="B166">
        <v>0</v>
      </c>
      <c r="C166">
        <v>1</v>
      </c>
      <c r="D166">
        <f t="shared" ref="D166:D169" si="63">AVERAGE(B166:C166)</f>
        <v>0.5</v>
      </c>
      <c r="E166" s="4">
        <v>1</v>
      </c>
      <c r="F166" s="4">
        <f>1862.9-1739.6</f>
        <v>123.30000000000018</v>
      </c>
      <c r="G166" s="8">
        <f>LOG10(D166*100*E166/F166*1000)</f>
        <v>2.6080069277402864</v>
      </c>
      <c r="H166" s="3"/>
    </row>
    <row r="167" spans="1:8" x14ac:dyDescent="0.2">
      <c r="A167" s="4" t="s">
        <v>9</v>
      </c>
      <c r="B167">
        <v>0</v>
      </c>
      <c r="C167">
        <v>0</v>
      </c>
      <c r="D167">
        <f t="shared" si="63"/>
        <v>0</v>
      </c>
      <c r="E167" s="4">
        <v>1</v>
      </c>
      <c r="F167" s="4">
        <f>1937.9-1781.4</f>
        <v>156.5</v>
      </c>
      <c r="G167" s="8" t="e">
        <f t="shared" ref="G167" si="64">LOG10(D167*100*E167/F167*1000)</f>
        <v>#NUM!</v>
      </c>
    </row>
    <row r="168" spans="1:8" x14ac:dyDescent="0.2">
      <c r="A168" s="4" t="s">
        <v>14</v>
      </c>
      <c r="B168">
        <v>2</v>
      </c>
      <c r="C168">
        <v>2</v>
      </c>
      <c r="D168">
        <f t="shared" si="63"/>
        <v>2</v>
      </c>
      <c r="E168" s="4">
        <v>1</v>
      </c>
      <c r="F168" s="4">
        <f>2005-1855.4</f>
        <v>149.59999999999991</v>
      </c>
      <c r="G168" s="8">
        <f>LOG10(D168*100*E168/F168*1000)</f>
        <v>3.1260984021355389</v>
      </c>
    </row>
    <row r="169" spans="1:8" x14ac:dyDescent="0.2">
      <c r="A169" s="4" t="s">
        <v>13</v>
      </c>
      <c r="B169">
        <v>3</v>
      </c>
      <c r="C169">
        <v>5</v>
      </c>
      <c r="D169">
        <f t="shared" si="63"/>
        <v>4</v>
      </c>
      <c r="E169" s="4">
        <v>1</v>
      </c>
      <c r="F169" s="4">
        <f>1886.7-1792.1</f>
        <v>94.600000000000136</v>
      </c>
      <c r="G169" s="8">
        <f t="shared" ref="G169" si="65">LOG10(D169*100*E169/F169*1000)</f>
        <v>3.6261688549261688</v>
      </c>
    </row>
    <row r="171" spans="1:8" ht="51" x14ac:dyDescent="0.2">
      <c r="A171" s="2" t="s">
        <v>86</v>
      </c>
      <c r="B171" s="50" t="s">
        <v>0</v>
      </c>
      <c r="C171" s="50"/>
      <c r="D171" s="6" t="s">
        <v>1</v>
      </c>
      <c r="E171" s="6" t="s">
        <v>4</v>
      </c>
      <c r="F171" s="6" t="s">
        <v>2</v>
      </c>
      <c r="G171" s="7" t="s">
        <v>3</v>
      </c>
    </row>
    <row r="172" spans="1:8" x14ac:dyDescent="0.2">
      <c r="A172" s="4" t="s">
        <v>11</v>
      </c>
      <c r="B172">
        <v>3</v>
      </c>
      <c r="C172">
        <v>3</v>
      </c>
      <c r="D172">
        <f>AVERAGE(B172:C172)</f>
        <v>3</v>
      </c>
      <c r="E172" s="4">
        <v>1</v>
      </c>
      <c r="F172" s="4">
        <f>1911.5-1857.4</f>
        <v>54.099999999999909</v>
      </c>
      <c r="G172" s="8">
        <f>LOG10(D172*100*E172/F172*1000)</f>
        <v>3.7439239896130938</v>
      </c>
    </row>
    <row r="173" spans="1:8" x14ac:dyDescent="0.2">
      <c r="A173" s="4" t="s">
        <v>12</v>
      </c>
      <c r="B173">
        <v>1</v>
      </c>
      <c r="C173">
        <v>4</v>
      </c>
      <c r="D173">
        <f t="shared" ref="D173:D176" si="66">AVERAGE(B173:C173)</f>
        <v>2.5</v>
      </c>
      <c r="E173" s="4">
        <v>1</v>
      </c>
      <c r="F173" s="4">
        <f>1839.9-1800.4</f>
        <v>39.5</v>
      </c>
      <c r="G173" s="8">
        <f>LOG10(D173*100*E173/F173*1000)</f>
        <v>3.8013429130455774</v>
      </c>
    </row>
    <row r="174" spans="1:8" x14ac:dyDescent="0.2">
      <c r="A174" s="4" t="s">
        <v>9</v>
      </c>
      <c r="B174">
        <v>35</v>
      </c>
      <c r="C174">
        <v>22</v>
      </c>
      <c r="D174">
        <f t="shared" si="66"/>
        <v>28.5</v>
      </c>
      <c r="E174" s="4">
        <v>1</v>
      </c>
      <c r="F174" s="4">
        <f>1846.8-1730.4</f>
        <v>116.39999999999986</v>
      </c>
      <c r="G174" s="8">
        <f t="shared" ref="G174" si="67">LOG10(D174*100*E174/F174*1000)</f>
        <v>4.3888918796946408</v>
      </c>
    </row>
    <row r="175" spans="1:8" x14ac:dyDescent="0.2">
      <c r="A175" s="4" t="s">
        <v>14</v>
      </c>
      <c r="B175">
        <v>16</v>
      </c>
      <c r="C175">
        <v>10</v>
      </c>
      <c r="D175">
        <f t="shared" si="66"/>
        <v>13</v>
      </c>
      <c r="E175" s="4">
        <v>100</v>
      </c>
      <c r="F175" s="4">
        <f>1815.3-1757.5</f>
        <v>57.799999999999955</v>
      </c>
      <c r="G175" s="8">
        <f>LOG10(D175*100*E175/F175*1000)</f>
        <v>6.3520155138863084</v>
      </c>
    </row>
    <row r="176" spans="1:8" x14ac:dyDescent="0.2">
      <c r="A176" s="4" t="s">
        <v>13</v>
      </c>
      <c r="B176">
        <v>3</v>
      </c>
      <c r="C176">
        <v>3</v>
      </c>
      <c r="D176">
        <f t="shared" si="66"/>
        <v>3</v>
      </c>
      <c r="E176" s="4">
        <v>1</v>
      </c>
      <c r="F176" s="4">
        <f>1946.2-1851.8</f>
        <v>94.400000000000091</v>
      </c>
      <c r="G176" s="8">
        <f t="shared" ref="G176" si="68">LOG10(D176*100*E176/F176*1000)</f>
        <v>3.5021492604215929</v>
      </c>
    </row>
    <row r="178" spans="1:7" s="12" customFormat="1" x14ac:dyDescent="0.2"/>
    <row r="179" spans="1:7" ht="51" x14ac:dyDescent="0.2">
      <c r="A179" s="2" t="s">
        <v>87</v>
      </c>
      <c r="B179" s="50" t="s">
        <v>0</v>
      </c>
      <c r="C179" s="50"/>
      <c r="D179" s="6" t="s">
        <v>1</v>
      </c>
      <c r="E179" s="6" t="s">
        <v>4</v>
      </c>
      <c r="F179" s="6" t="s">
        <v>2</v>
      </c>
      <c r="G179" s="7" t="s">
        <v>3</v>
      </c>
    </row>
    <row r="180" spans="1:7" x14ac:dyDescent="0.2">
      <c r="A180" s="4" t="s">
        <v>11</v>
      </c>
      <c r="B180">
        <v>0</v>
      </c>
      <c r="D180">
        <f>AVERAGE(B180:C180)</f>
        <v>0</v>
      </c>
      <c r="E180" s="4">
        <v>1</v>
      </c>
      <c r="F180" s="4">
        <f>1864.6-1793.5</f>
        <v>71.099999999999909</v>
      </c>
      <c r="G180" s="8" t="e">
        <f>LOG10(D180*100*E180/F180*1000)</f>
        <v>#NUM!</v>
      </c>
    </row>
    <row r="181" spans="1:7" x14ac:dyDescent="0.2">
      <c r="A181" s="4" t="s">
        <v>12</v>
      </c>
      <c r="B181">
        <v>0</v>
      </c>
      <c r="D181">
        <f t="shared" ref="D181:D184" si="69">AVERAGE(B181:C181)</f>
        <v>0</v>
      </c>
      <c r="E181" s="4">
        <v>1</v>
      </c>
      <c r="F181" s="4">
        <f>1832.2-1766.5</f>
        <v>65.700000000000045</v>
      </c>
      <c r="G181" s="8" t="e">
        <f>LOG10(D181*100*E181/F181*1000)</f>
        <v>#NUM!</v>
      </c>
    </row>
    <row r="182" spans="1:7" x14ac:dyDescent="0.2">
      <c r="A182" s="4" t="s">
        <v>9</v>
      </c>
      <c r="B182">
        <v>0</v>
      </c>
      <c r="D182">
        <f t="shared" si="69"/>
        <v>0</v>
      </c>
      <c r="E182" s="4">
        <v>1</v>
      </c>
      <c r="F182" s="4">
        <f>1878-1706.4</f>
        <v>171.59999999999991</v>
      </c>
      <c r="G182" s="8" t="e">
        <f t="shared" ref="G182" si="70">LOG10(D182*100*E182/F182*1000)</f>
        <v>#NUM!</v>
      </c>
    </row>
    <row r="183" spans="1:7" x14ac:dyDescent="0.2">
      <c r="A183" s="4" t="s">
        <v>14</v>
      </c>
      <c r="B183">
        <v>0</v>
      </c>
      <c r="D183">
        <f t="shared" si="69"/>
        <v>0</v>
      </c>
      <c r="E183" s="4">
        <v>1</v>
      </c>
      <c r="F183" s="4">
        <f>2004.1-1888.4</f>
        <v>115.69999999999982</v>
      </c>
      <c r="G183" s="8" t="e">
        <f>LOG10(D183*100*E183/F183*1000)</f>
        <v>#NUM!</v>
      </c>
    </row>
    <row r="184" spans="1:7" x14ac:dyDescent="0.2">
      <c r="A184" s="4" t="s">
        <v>13</v>
      </c>
      <c r="B184">
        <v>0</v>
      </c>
      <c r="D184">
        <f t="shared" si="69"/>
        <v>0</v>
      </c>
      <c r="E184" s="4">
        <v>1</v>
      </c>
      <c r="F184" s="4">
        <f>1931-1818.5</f>
        <v>112.5</v>
      </c>
      <c r="G184" s="8" t="e">
        <f t="shared" ref="G184" si="71">LOG10(D184*100*E184/F184*1000)</f>
        <v>#NUM!</v>
      </c>
    </row>
    <row r="186" spans="1:7" ht="51" x14ac:dyDescent="0.2">
      <c r="A186" s="2" t="s">
        <v>88</v>
      </c>
      <c r="B186" s="50" t="s">
        <v>0</v>
      </c>
      <c r="C186" s="50"/>
      <c r="D186" s="6" t="s">
        <v>1</v>
      </c>
      <c r="E186" s="6" t="s">
        <v>4</v>
      </c>
      <c r="F186" s="6" t="s">
        <v>2</v>
      </c>
      <c r="G186" s="7" t="s">
        <v>3</v>
      </c>
    </row>
    <row r="187" spans="1:7" x14ac:dyDescent="0.2">
      <c r="A187" s="4" t="s">
        <v>11</v>
      </c>
      <c r="B187">
        <v>0</v>
      </c>
      <c r="D187">
        <f>AVERAGE(B187:C187)</f>
        <v>0</v>
      </c>
      <c r="E187" s="4">
        <v>1</v>
      </c>
      <c r="F187" s="4">
        <f>1945.7-1847.1</f>
        <v>98.600000000000136</v>
      </c>
      <c r="G187" s="8" t="e">
        <f>LOG10(D187*100*E187/F187*1000)</f>
        <v>#NUM!</v>
      </c>
    </row>
    <row r="188" spans="1:7" x14ac:dyDescent="0.2">
      <c r="A188" s="4" t="s">
        <v>12</v>
      </c>
      <c r="B188">
        <v>0</v>
      </c>
      <c r="D188">
        <f t="shared" ref="D188:D191" si="72">AVERAGE(B188:C188)</f>
        <v>0</v>
      </c>
      <c r="E188" s="4">
        <v>1</v>
      </c>
      <c r="F188" s="4">
        <f>1903.6-1791</f>
        <v>112.59999999999991</v>
      </c>
      <c r="G188" s="8" t="e">
        <f>LOG10(D188*100*E188/F188*1000)</f>
        <v>#NUM!</v>
      </c>
    </row>
    <row r="189" spans="1:7" x14ac:dyDescent="0.2">
      <c r="A189" s="4" t="s">
        <v>9</v>
      </c>
      <c r="B189">
        <v>0</v>
      </c>
      <c r="D189">
        <f t="shared" si="72"/>
        <v>0</v>
      </c>
      <c r="E189" s="4">
        <v>1</v>
      </c>
      <c r="F189" s="4">
        <f>1882.5-1806.4</f>
        <v>76.099999999999909</v>
      </c>
      <c r="G189" s="8" t="e">
        <f t="shared" ref="G189" si="73">LOG10(D189*100*E189/F189*1000)</f>
        <v>#NUM!</v>
      </c>
    </row>
    <row r="190" spans="1:7" x14ac:dyDescent="0.2">
      <c r="A190" s="4" t="s">
        <v>14</v>
      </c>
      <c r="B190">
        <v>0</v>
      </c>
      <c r="D190">
        <f t="shared" si="72"/>
        <v>0</v>
      </c>
      <c r="E190" s="4">
        <v>1</v>
      </c>
      <c r="F190" s="4">
        <f>2012.2-1847</f>
        <v>165.20000000000005</v>
      </c>
      <c r="G190" s="8" t="e">
        <f>LOG10(D190*100*E190/F190*1000)</f>
        <v>#NUM!</v>
      </c>
    </row>
    <row r="191" spans="1:7" x14ac:dyDescent="0.2">
      <c r="A191" s="4" t="s">
        <v>13</v>
      </c>
      <c r="B191">
        <v>0</v>
      </c>
      <c r="D191">
        <f t="shared" si="72"/>
        <v>0</v>
      </c>
      <c r="E191" s="4">
        <v>1</v>
      </c>
      <c r="F191" s="4">
        <f>1978.2-1797.4</f>
        <v>180.79999999999995</v>
      </c>
      <c r="G191" s="8" t="e">
        <f t="shared" ref="G191" si="74">LOG10(D191*100*E191/F191*1000)</f>
        <v>#NUM!</v>
      </c>
    </row>
    <row r="193" spans="1:7" ht="51" x14ac:dyDescent="0.2">
      <c r="A193" s="2" t="s">
        <v>89</v>
      </c>
      <c r="B193" s="50" t="s">
        <v>0</v>
      </c>
      <c r="C193" s="50"/>
      <c r="D193" s="6" t="s">
        <v>1</v>
      </c>
      <c r="E193" s="6" t="s">
        <v>4</v>
      </c>
      <c r="F193" s="6" t="s">
        <v>2</v>
      </c>
      <c r="G193" s="7" t="s">
        <v>3</v>
      </c>
    </row>
    <row r="194" spans="1:7" x14ac:dyDescent="0.2">
      <c r="A194" s="4" t="s">
        <v>11</v>
      </c>
      <c r="B194">
        <v>0</v>
      </c>
      <c r="D194">
        <f>AVERAGE(B194:C194)</f>
        <v>0</v>
      </c>
      <c r="E194" s="4">
        <v>1</v>
      </c>
      <c r="F194" s="4">
        <f>2004.4-1841.3</f>
        <v>163.10000000000014</v>
      </c>
      <c r="G194" s="8" t="e">
        <f>LOG10(D194*100*E194/F194*1000)</f>
        <v>#NUM!</v>
      </c>
    </row>
    <row r="195" spans="1:7" x14ac:dyDescent="0.2">
      <c r="A195" s="4" t="s">
        <v>12</v>
      </c>
      <c r="B195">
        <v>0</v>
      </c>
      <c r="D195">
        <f t="shared" ref="D195:D198" si="75">AVERAGE(B195:C195)</f>
        <v>0</v>
      </c>
      <c r="E195" s="4">
        <v>1</v>
      </c>
      <c r="F195" s="4">
        <f>1925.7-1773.4</f>
        <v>152.29999999999995</v>
      </c>
      <c r="G195" s="8" t="e">
        <f>LOG10(D195*100*E195/F195*1000)</f>
        <v>#NUM!</v>
      </c>
    </row>
    <row r="196" spans="1:7" x14ac:dyDescent="0.2">
      <c r="A196" s="4" t="s">
        <v>9</v>
      </c>
      <c r="B196">
        <v>0</v>
      </c>
      <c r="D196">
        <f t="shared" si="75"/>
        <v>0</v>
      </c>
      <c r="E196" s="4">
        <v>1</v>
      </c>
      <c r="F196" s="4">
        <f>1932.1-1767.8</f>
        <v>164.29999999999995</v>
      </c>
      <c r="G196" s="8" t="e">
        <f t="shared" ref="G196" si="76">LOG10(D196*100*E196/F196*1000)</f>
        <v>#NUM!</v>
      </c>
    </row>
    <row r="197" spans="1:7" x14ac:dyDescent="0.2">
      <c r="A197" s="4" t="s">
        <v>14</v>
      </c>
      <c r="B197">
        <v>0</v>
      </c>
      <c r="D197">
        <f t="shared" si="75"/>
        <v>0</v>
      </c>
      <c r="E197" s="4">
        <v>1</v>
      </c>
      <c r="F197" s="4">
        <f>2004.8-1740.6</f>
        <v>264.20000000000005</v>
      </c>
      <c r="G197" s="8" t="e">
        <f>LOG10(D197*100*E197/F197*1000)</f>
        <v>#NUM!</v>
      </c>
    </row>
    <row r="198" spans="1:7" x14ac:dyDescent="0.2">
      <c r="A198" s="4" t="s">
        <v>13</v>
      </c>
      <c r="B198">
        <v>0</v>
      </c>
      <c r="D198">
        <f t="shared" si="75"/>
        <v>0</v>
      </c>
      <c r="E198" s="4">
        <v>1</v>
      </c>
      <c r="F198" s="4">
        <f>2046.8-1905.4</f>
        <v>141.39999999999986</v>
      </c>
      <c r="G198" s="8" t="e">
        <f t="shared" ref="G198" si="77">LOG10(D198*100*E198/F198*1000)</f>
        <v>#NUM!</v>
      </c>
    </row>
    <row r="200" spans="1:7" ht="51" x14ac:dyDescent="0.2">
      <c r="A200" s="2" t="s">
        <v>90</v>
      </c>
      <c r="B200" s="50" t="s">
        <v>0</v>
      </c>
      <c r="C200" s="50"/>
      <c r="D200" s="6" t="s">
        <v>1</v>
      </c>
      <c r="E200" s="6" t="s">
        <v>4</v>
      </c>
      <c r="F200" s="6" t="s">
        <v>2</v>
      </c>
      <c r="G200" s="7" t="s">
        <v>3</v>
      </c>
    </row>
    <row r="201" spans="1:7" x14ac:dyDescent="0.2">
      <c r="A201" s="4" t="s">
        <v>11</v>
      </c>
      <c r="B201">
        <v>0</v>
      </c>
      <c r="D201">
        <f>AVERAGE(B201:C201)</f>
        <v>0</v>
      </c>
      <c r="E201" s="4">
        <v>1</v>
      </c>
      <c r="F201" s="4">
        <f>1802.1-1753.1</f>
        <v>49</v>
      </c>
      <c r="G201" s="8" t="e">
        <f>LOG10(D201*100*E201/F201*1000)</f>
        <v>#NUM!</v>
      </c>
    </row>
    <row r="202" spans="1:7" x14ac:dyDescent="0.2">
      <c r="A202" s="4" t="s">
        <v>12</v>
      </c>
      <c r="B202">
        <v>0</v>
      </c>
      <c r="D202">
        <f t="shared" ref="D202:D205" si="78">AVERAGE(B202:C202)</f>
        <v>0</v>
      </c>
      <c r="E202" s="4">
        <v>1</v>
      </c>
      <c r="F202" s="4">
        <f>1812.2-1782.9</f>
        <v>29.299999999999955</v>
      </c>
      <c r="G202" s="8" t="e">
        <f>LOG10(D202*100*E202/F202*1000)</f>
        <v>#NUM!</v>
      </c>
    </row>
    <row r="203" spans="1:7" x14ac:dyDescent="0.2">
      <c r="A203" s="4" t="s">
        <v>9</v>
      </c>
      <c r="B203">
        <v>0</v>
      </c>
      <c r="D203">
        <f t="shared" si="78"/>
        <v>0</v>
      </c>
      <c r="E203" s="4">
        <v>1</v>
      </c>
      <c r="F203" s="4">
        <f>1932.6-1809.3</f>
        <v>123.29999999999995</v>
      </c>
      <c r="G203" s="8" t="e">
        <f t="shared" ref="G203" si="79">LOG10(D203*100*E203/F203*1000)</f>
        <v>#NUM!</v>
      </c>
    </row>
    <row r="204" spans="1:7" x14ac:dyDescent="0.2">
      <c r="A204" s="4" t="s">
        <v>14</v>
      </c>
      <c r="B204">
        <v>0</v>
      </c>
      <c r="D204">
        <f t="shared" si="78"/>
        <v>0</v>
      </c>
      <c r="E204" s="4">
        <v>1</v>
      </c>
      <c r="F204" s="4">
        <f>2000.3-1799.7</f>
        <v>200.59999999999991</v>
      </c>
      <c r="G204" s="8" t="e">
        <f>LOG10(D204*100*E204/F204*1000)</f>
        <v>#NUM!</v>
      </c>
    </row>
    <row r="205" spans="1:7" x14ac:dyDescent="0.2">
      <c r="A205" s="4" t="s">
        <v>13</v>
      </c>
      <c r="B205">
        <v>0</v>
      </c>
      <c r="D205">
        <f t="shared" si="78"/>
        <v>0</v>
      </c>
      <c r="E205" s="4">
        <v>1</v>
      </c>
      <c r="F205" s="4">
        <f>2030.2-1864.2</f>
        <v>166</v>
      </c>
      <c r="G205" s="8" t="e">
        <f t="shared" ref="G205" si="80">LOG10(D205*100*E205/F205*1000)</f>
        <v>#NUM!</v>
      </c>
    </row>
    <row r="207" spans="1:7" ht="51" x14ac:dyDescent="0.2">
      <c r="A207" s="2" t="s">
        <v>91</v>
      </c>
      <c r="B207" s="50" t="s">
        <v>0</v>
      </c>
      <c r="C207" s="50"/>
      <c r="D207" s="6" t="s">
        <v>1</v>
      </c>
      <c r="E207" s="6" t="s">
        <v>4</v>
      </c>
      <c r="F207" s="6" t="s">
        <v>2</v>
      </c>
      <c r="G207" s="7" t="s">
        <v>3</v>
      </c>
    </row>
    <row r="208" spans="1:7" x14ac:dyDescent="0.2">
      <c r="A208" s="4" t="s">
        <v>11</v>
      </c>
      <c r="B208">
        <v>0</v>
      </c>
      <c r="D208">
        <f>AVERAGE(B208:C208)</f>
        <v>0</v>
      </c>
      <c r="E208" s="4">
        <v>1</v>
      </c>
      <c r="F208" s="4">
        <f>1916.7-1851.3</f>
        <v>65.400000000000091</v>
      </c>
      <c r="G208" s="8" t="e">
        <f>LOG10(D208*100*E208/F208*1000)</f>
        <v>#NUM!</v>
      </c>
    </row>
    <row r="209" spans="1:7" x14ac:dyDescent="0.2">
      <c r="A209" s="4" t="s">
        <v>12</v>
      </c>
      <c r="B209">
        <v>0</v>
      </c>
      <c r="D209">
        <f t="shared" ref="D209:D212" si="81">AVERAGE(B209:C209)</f>
        <v>0</v>
      </c>
      <c r="E209" s="4">
        <v>1</v>
      </c>
      <c r="F209" s="4">
        <f>2061.3-1883.6</f>
        <v>177.70000000000027</v>
      </c>
      <c r="G209" s="8" t="e">
        <f>LOG10(D209*100*E209/F209*1000)</f>
        <v>#NUM!</v>
      </c>
    </row>
    <row r="210" spans="1:7" x14ac:dyDescent="0.2">
      <c r="A210" s="4" t="s">
        <v>9</v>
      </c>
      <c r="B210">
        <v>0</v>
      </c>
      <c r="D210">
        <f t="shared" si="81"/>
        <v>0</v>
      </c>
      <c r="E210" s="4">
        <v>1</v>
      </c>
      <c r="F210" s="4">
        <f>1907.5-1743</f>
        <v>164.5</v>
      </c>
      <c r="G210" s="8" t="e">
        <f t="shared" ref="G210" si="82">LOG10(D210*100*E210/F210*1000)</f>
        <v>#NUM!</v>
      </c>
    </row>
    <row r="211" spans="1:7" x14ac:dyDescent="0.2">
      <c r="A211" s="4" t="s">
        <v>14</v>
      </c>
      <c r="B211">
        <v>0</v>
      </c>
      <c r="D211">
        <f t="shared" si="81"/>
        <v>0</v>
      </c>
      <c r="E211" s="4">
        <v>1</v>
      </c>
      <c r="F211" s="4">
        <f>1979.9-1791.9</f>
        <v>188</v>
      </c>
      <c r="G211" s="8" t="e">
        <f>LOG10(D211*100*E211/F211*1000)</f>
        <v>#NUM!</v>
      </c>
    </row>
    <row r="212" spans="1:7" x14ac:dyDescent="0.2">
      <c r="A212" s="4" t="s">
        <v>13</v>
      </c>
      <c r="B212">
        <v>0</v>
      </c>
      <c r="D212">
        <f t="shared" si="81"/>
        <v>0</v>
      </c>
      <c r="E212" s="4">
        <v>1</v>
      </c>
      <c r="F212" s="4">
        <f>1939-1783.5</f>
        <v>155.5</v>
      </c>
      <c r="G212" s="8" t="e">
        <f t="shared" ref="G212" si="83">LOG10(D212*100*E212/F212*1000)</f>
        <v>#NUM!</v>
      </c>
    </row>
  </sheetData>
  <mergeCells count="30">
    <mergeCell ref="B179:C179"/>
    <mergeCell ref="B186:C186"/>
    <mergeCell ref="B193:C193"/>
    <mergeCell ref="B200:C200"/>
    <mergeCell ref="B207:C207"/>
    <mergeCell ref="B143:C143"/>
    <mergeCell ref="B150:C150"/>
    <mergeCell ref="B157:C157"/>
    <mergeCell ref="B164:C164"/>
    <mergeCell ref="B171:C171"/>
    <mergeCell ref="B1:C1"/>
    <mergeCell ref="B8:C8"/>
    <mergeCell ref="B15:C15"/>
    <mergeCell ref="B22:C22"/>
    <mergeCell ref="B29:C29"/>
    <mergeCell ref="B108:C108"/>
    <mergeCell ref="B115:C115"/>
    <mergeCell ref="B122:C122"/>
    <mergeCell ref="B129:C129"/>
    <mergeCell ref="B136:C136"/>
    <mergeCell ref="B37:C37"/>
    <mergeCell ref="B79:C79"/>
    <mergeCell ref="B86:C86"/>
    <mergeCell ref="B93:C93"/>
    <mergeCell ref="B100:C100"/>
    <mergeCell ref="B44:C44"/>
    <mergeCell ref="B51:C51"/>
    <mergeCell ref="B58:C58"/>
    <mergeCell ref="B65:C65"/>
    <mergeCell ref="B72:C7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D1528-F668-2B4F-A5A6-7803EE9D439D}">
  <dimension ref="A1:AE78"/>
  <sheetViews>
    <sheetView topLeftCell="N55" workbookViewId="0">
      <selection activeCell="AA77" sqref="AA77:AE78"/>
    </sheetView>
  </sheetViews>
  <sheetFormatPr baseColWidth="10" defaultRowHeight="16" x14ac:dyDescent="0.2"/>
  <cols>
    <col min="1" max="1" width="14" customWidth="1"/>
  </cols>
  <sheetData>
    <row r="1" spans="1:14" x14ac:dyDescent="0.2">
      <c r="A1" s="21" t="s">
        <v>27</v>
      </c>
      <c r="B1" s="21" t="s">
        <v>28</v>
      </c>
      <c r="C1" s="21" t="s">
        <v>29</v>
      </c>
      <c r="D1" s="21" t="s">
        <v>30</v>
      </c>
      <c r="E1" s="21" t="s">
        <v>31</v>
      </c>
      <c r="F1" s="21" t="s">
        <v>32</v>
      </c>
      <c r="G1" s="21" t="s">
        <v>33</v>
      </c>
      <c r="H1" s="21" t="s">
        <v>34</v>
      </c>
      <c r="I1" s="21" t="s">
        <v>35</v>
      </c>
      <c r="J1" s="21" t="s">
        <v>36</v>
      </c>
      <c r="K1" s="21" t="s">
        <v>37</v>
      </c>
      <c r="L1" s="21" t="s">
        <v>38</v>
      </c>
      <c r="M1" s="21" t="s">
        <v>55</v>
      </c>
      <c r="N1" s="21" t="s">
        <v>39</v>
      </c>
    </row>
    <row r="2" spans="1:14" x14ac:dyDescent="0.2">
      <c r="A2" s="22" t="s">
        <v>57</v>
      </c>
      <c r="B2" s="23">
        <v>17.100000000000001</v>
      </c>
      <c r="C2" s="23">
        <v>17.2</v>
      </c>
      <c r="D2" s="23">
        <v>17.2</v>
      </c>
      <c r="E2" s="23">
        <v>17.600000000000001</v>
      </c>
      <c r="F2" s="23">
        <v>17.399999999999999</v>
      </c>
      <c r="G2" s="23">
        <v>17.5</v>
      </c>
      <c r="H2" s="23">
        <v>17.100000000000001</v>
      </c>
      <c r="I2" s="23">
        <v>16.899999999999999</v>
      </c>
      <c r="J2" s="23">
        <v>17.2</v>
      </c>
      <c r="K2" s="23">
        <v>17.899999999999999</v>
      </c>
      <c r="L2" s="23">
        <v>17.600000000000001</v>
      </c>
      <c r="M2" s="23">
        <v>18.600000000000001</v>
      </c>
      <c r="N2" s="24">
        <v>18.100000000000001</v>
      </c>
    </row>
    <row r="3" spans="1:14" x14ac:dyDescent="0.2">
      <c r="A3" s="25" t="s">
        <v>58</v>
      </c>
      <c r="B3" s="4">
        <v>18.3</v>
      </c>
      <c r="C3" s="4">
        <v>17.600000000000001</v>
      </c>
      <c r="D3" s="4">
        <v>17.7</v>
      </c>
      <c r="E3" s="4">
        <v>18</v>
      </c>
      <c r="F3" s="4">
        <v>17.899999999999999</v>
      </c>
      <c r="G3" s="4">
        <v>18.100000000000001</v>
      </c>
      <c r="H3" s="4">
        <v>18</v>
      </c>
      <c r="I3" s="4">
        <v>17.8</v>
      </c>
      <c r="J3" s="4">
        <v>18</v>
      </c>
      <c r="K3" s="4">
        <v>18.100000000000001</v>
      </c>
      <c r="L3" s="4">
        <v>18.399999999999999</v>
      </c>
      <c r="M3" s="4">
        <v>18.3</v>
      </c>
      <c r="N3" s="26">
        <v>18.600000000000001</v>
      </c>
    </row>
    <row r="4" spans="1:14" x14ac:dyDescent="0.2">
      <c r="A4" s="25" t="s">
        <v>59</v>
      </c>
      <c r="B4" s="4">
        <v>18.2</v>
      </c>
      <c r="C4" s="4">
        <v>18.5</v>
      </c>
      <c r="D4" s="4">
        <v>18.3</v>
      </c>
      <c r="E4" s="4">
        <v>18.5</v>
      </c>
      <c r="F4" s="4">
        <v>18.2</v>
      </c>
      <c r="G4" s="4">
        <v>18.100000000000001</v>
      </c>
      <c r="H4" s="4">
        <v>18</v>
      </c>
      <c r="I4" s="4">
        <v>18.2</v>
      </c>
      <c r="J4" s="4">
        <v>18.100000000000001</v>
      </c>
      <c r="K4" s="4">
        <v>18.5</v>
      </c>
      <c r="L4" s="4">
        <v>18.399999999999999</v>
      </c>
      <c r="M4" s="4">
        <v>18.7</v>
      </c>
      <c r="N4" s="26">
        <v>18.5</v>
      </c>
    </row>
    <row r="5" spans="1:14" x14ac:dyDescent="0.2">
      <c r="A5" s="25" t="s">
        <v>60</v>
      </c>
      <c r="B5" s="4">
        <v>18.100000000000001</v>
      </c>
      <c r="C5" s="4">
        <v>18</v>
      </c>
      <c r="D5" s="4">
        <v>18.100000000000001</v>
      </c>
      <c r="E5" s="4">
        <v>18.100000000000001</v>
      </c>
      <c r="F5" s="4">
        <v>18.8</v>
      </c>
      <c r="G5" s="4">
        <v>18.5</v>
      </c>
      <c r="H5" s="4">
        <v>18.100000000000001</v>
      </c>
      <c r="I5" s="4">
        <v>17.8</v>
      </c>
      <c r="J5" s="4">
        <v>18.100000000000001</v>
      </c>
      <c r="K5" s="4">
        <v>18.899999999999999</v>
      </c>
      <c r="L5" s="4">
        <v>18.3</v>
      </c>
      <c r="M5" s="4">
        <v>18.899999999999999</v>
      </c>
      <c r="N5" s="26">
        <v>18.399999999999999</v>
      </c>
    </row>
    <row r="6" spans="1:14" x14ac:dyDescent="0.2">
      <c r="A6" s="27" t="s">
        <v>61</v>
      </c>
      <c r="B6" s="28">
        <v>16.399999999999999</v>
      </c>
      <c r="C6" s="28">
        <v>16.3</v>
      </c>
      <c r="D6" s="28">
        <v>16.399999999999999</v>
      </c>
      <c r="E6" s="28">
        <v>16.600000000000001</v>
      </c>
      <c r="F6" s="28">
        <v>16.7</v>
      </c>
      <c r="G6" s="28">
        <v>16.7</v>
      </c>
      <c r="H6" s="28">
        <v>16.7</v>
      </c>
      <c r="I6" s="28">
        <v>16.5</v>
      </c>
      <c r="J6" s="28">
        <v>16</v>
      </c>
      <c r="K6" s="28">
        <v>16</v>
      </c>
      <c r="L6" s="28">
        <v>16.8</v>
      </c>
      <c r="M6" s="28">
        <v>16.7</v>
      </c>
      <c r="N6" s="29">
        <v>17.100000000000001</v>
      </c>
    </row>
    <row r="7" spans="1:14" x14ac:dyDescent="0.2">
      <c r="A7" s="25" t="s">
        <v>40</v>
      </c>
      <c r="B7" s="4">
        <v>17.2</v>
      </c>
      <c r="C7" s="4">
        <v>17.399999999999999</v>
      </c>
      <c r="D7" s="4">
        <v>17.100000000000001</v>
      </c>
      <c r="E7" s="4">
        <v>17.399999999999999</v>
      </c>
      <c r="F7" s="4">
        <v>17.2</v>
      </c>
      <c r="G7" s="4">
        <v>17.7</v>
      </c>
      <c r="H7" s="4">
        <v>17.5</v>
      </c>
      <c r="I7" s="4">
        <v>17.600000000000001</v>
      </c>
      <c r="J7" s="4">
        <v>17.600000000000001</v>
      </c>
      <c r="K7" s="4">
        <v>18</v>
      </c>
      <c r="L7" s="23">
        <v>18.899999999999999</v>
      </c>
      <c r="M7" s="4">
        <v>18.8</v>
      </c>
      <c r="N7" s="26">
        <v>19.399999999999999</v>
      </c>
    </row>
    <row r="8" spans="1:14" x14ac:dyDescent="0.2">
      <c r="A8" s="25" t="s">
        <v>41</v>
      </c>
      <c r="B8" s="4">
        <v>17.399999999999999</v>
      </c>
      <c r="C8" s="4">
        <v>17.5</v>
      </c>
      <c r="D8" s="4">
        <v>16.899999999999999</v>
      </c>
      <c r="E8" s="4">
        <v>17.399999999999999</v>
      </c>
      <c r="F8" s="4">
        <v>17.600000000000001</v>
      </c>
      <c r="G8" s="4">
        <v>18.100000000000001</v>
      </c>
      <c r="H8" s="4">
        <v>17.899999999999999</v>
      </c>
      <c r="I8" s="4">
        <v>17.600000000000001</v>
      </c>
      <c r="J8" s="4">
        <v>17.2</v>
      </c>
      <c r="K8" s="4">
        <v>17.7</v>
      </c>
      <c r="L8" s="4">
        <v>18.100000000000001</v>
      </c>
      <c r="M8" s="4">
        <v>18.7</v>
      </c>
      <c r="N8" s="26">
        <v>18.899999999999999</v>
      </c>
    </row>
    <row r="9" spans="1:14" x14ac:dyDescent="0.2">
      <c r="A9" s="25" t="s">
        <v>42</v>
      </c>
      <c r="B9" s="4">
        <v>18</v>
      </c>
      <c r="C9" s="4">
        <v>18</v>
      </c>
      <c r="D9" s="4">
        <v>18.100000000000001</v>
      </c>
      <c r="E9" s="4">
        <v>18.5</v>
      </c>
      <c r="F9" s="4">
        <v>18.2</v>
      </c>
      <c r="G9" s="4">
        <v>18.399999999999999</v>
      </c>
      <c r="H9" s="4">
        <v>18</v>
      </c>
      <c r="I9" s="4">
        <v>17.7</v>
      </c>
      <c r="J9" s="4">
        <v>17.600000000000001</v>
      </c>
      <c r="K9" s="4">
        <v>18.3</v>
      </c>
      <c r="L9" s="4">
        <v>18.399999999999999</v>
      </c>
      <c r="M9" s="4">
        <v>18.7</v>
      </c>
      <c r="N9" s="26">
        <v>18.600000000000001</v>
      </c>
    </row>
    <row r="10" spans="1:14" x14ac:dyDescent="0.2">
      <c r="A10" s="25" t="s">
        <v>43</v>
      </c>
      <c r="B10" s="4">
        <v>17.5</v>
      </c>
      <c r="C10" s="4">
        <v>17.3</v>
      </c>
      <c r="D10" s="4">
        <v>17.399999999999999</v>
      </c>
      <c r="E10" s="4">
        <v>18.100000000000001</v>
      </c>
      <c r="F10" s="4">
        <v>17.8</v>
      </c>
      <c r="G10" s="4">
        <v>18</v>
      </c>
      <c r="H10" s="4">
        <v>18</v>
      </c>
      <c r="I10" s="4">
        <v>17.899999999999999</v>
      </c>
      <c r="J10" s="4">
        <v>17.7</v>
      </c>
      <c r="K10" s="4">
        <v>18.2</v>
      </c>
      <c r="L10" s="4">
        <v>18.399999999999999</v>
      </c>
      <c r="M10" s="4">
        <v>18.7</v>
      </c>
      <c r="N10" s="26">
        <v>18.399999999999999</v>
      </c>
    </row>
    <row r="11" spans="1:14" x14ac:dyDescent="0.2">
      <c r="A11" s="25" t="s">
        <v>44</v>
      </c>
      <c r="B11" s="4">
        <v>17.3</v>
      </c>
      <c r="C11" s="4">
        <v>17.2</v>
      </c>
      <c r="D11" s="4">
        <v>17.3</v>
      </c>
      <c r="E11" s="4">
        <v>17.600000000000001</v>
      </c>
      <c r="F11" s="4">
        <v>17.7</v>
      </c>
      <c r="G11" s="4">
        <v>17.7</v>
      </c>
      <c r="H11" s="4">
        <v>17.7</v>
      </c>
      <c r="I11" s="4">
        <v>17.5</v>
      </c>
      <c r="J11" s="4">
        <v>17</v>
      </c>
      <c r="K11" s="4">
        <v>17.7</v>
      </c>
      <c r="L11" s="4">
        <v>17.8</v>
      </c>
      <c r="M11" s="4">
        <v>17.8</v>
      </c>
      <c r="N11" s="26">
        <v>18.2</v>
      </c>
    </row>
    <row r="12" spans="1:14" x14ac:dyDescent="0.2">
      <c r="A12" s="22" t="s">
        <v>62</v>
      </c>
      <c r="B12" s="23">
        <v>15.8</v>
      </c>
      <c r="C12" s="23">
        <v>15.5</v>
      </c>
      <c r="D12" s="23">
        <v>16.2</v>
      </c>
      <c r="E12" s="23">
        <v>16.899999999999999</v>
      </c>
      <c r="F12" s="23">
        <v>16.7</v>
      </c>
      <c r="G12" s="23">
        <v>16.8</v>
      </c>
      <c r="H12" s="23">
        <v>16.5</v>
      </c>
      <c r="I12" s="23">
        <v>16.5</v>
      </c>
      <c r="J12" s="23">
        <v>16.100000000000001</v>
      </c>
      <c r="K12" s="23">
        <v>16.600000000000001</v>
      </c>
      <c r="L12" s="23">
        <v>17.100000000000001</v>
      </c>
      <c r="M12" s="23">
        <v>16.7</v>
      </c>
      <c r="N12" s="24">
        <v>16.600000000000001</v>
      </c>
    </row>
    <row r="13" spans="1:14" x14ac:dyDescent="0.2">
      <c r="A13" s="25" t="s">
        <v>63</v>
      </c>
      <c r="B13" s="4">
        <v>15.6</v>
      </c>
      <c r="C13" s="4">
        <v>15.7</v>
      </c>
      <c r="D13" s="4">
        <v>15.8</v>
      </c>
      <c r="E13" s="4">
        <v>15.8</v>
      </c>
      <c r="F13" s="4">
        <v>16</v>
      </c>
      <c r="G13" s="4">
        <v>16.3</v>
      </c>
      <c r="H13" s="4">
        <v>15.8</v>
      </c>
      <c r="I13" s="4">
        <v>15.7</v>
      </c>
      <c r="J13" s="4">
        <v>15.4</v>
      </c>
      <c r="K13" s="4">
        <v>16</v>
      </c>
      <c r="L13" s="4">
        <v>16.2</v>
      </c>
      <c r="M13" s="4">
        <v>16.399999999999999</v>
      </c>
      <c r="N13" s="26">
        <v>16.5</v>
      </c>
    </row>
    <row r="14" spans="1:14" x14ac:dyDescent="0.2">
      <c r="A14" s="25" t="s">
        <v>64</v>
      </c>
      <c r="B14" s="4">
        <v>20.8</v>
      </c>
      <c r="C14" s="4">
        <v>20.7</v>
      </c>
      <c r="D14" s="4">
        <v>20.9</v>
      </c>
      <c r="E14" s="4">
        <v>20.8</v>
      </c>
      <c r="F14" s="4">
        <v>21</v>
      </c>
      <c r="G14" s="4">
        <v>21.2</v>
      </c>
      <c r="H14" s="4">
        <v>21</v>
      </c>
      <c r="I14" s="4">
        <v>20.9</v>
      </c>
      <c r="J14" s="4">
        <v>20.3</v>
      </c>
      <c r="K14" s="4">
        <v>20.7</v>
      </c>
      <c r="L14" s="4">
        <v>20.6</v>
      </c>
      <c r="M14" s="4">
        <v>20.9</v>
      </c>
      <c r="N14" s="26">
        <v>22</v>
      </c>
    </row>
    <row r="15" spans="1:14" x14ac:dyDescent="0.2">
      <c r="A15" s="25" t="s">
        <v>65</v>
      </c>
      <c r="B15" s="4">
        <v>17.399999999999999</v>
      </c>
      <c r="C15" s="4">
        <v>16.899999999999999</v>
      </c>
      <c r="D15" s="4">
        <v>17.100000000000001</v>
      </c>
      <c r="E15" s="4">
        <v>17.100000000000001</v>
      </c>
      <c r="F15" s="4">
        <v>17.3</v>
      </c>
      <c r="G15" s="4">
        <v>17.5</v>
      </c>
      <c r="H15" s="4">
        <v>17.399999999999999</v>
      </c>
      <c r="I15" s="4">
        <v>17.2</v>
      </c>
      <c r="J15" s="4">
        <v>17.100000000000001</v>
      </c>
      <c r="K15" s="4">
        <v>17.5</v>
      </c>
      <c r="L15" s="4">
        <v>18.5</v>
      </c>
      <c r="M15" s="4">
        <v>17.8</v>
      </c>
      <c r="N15" s="26">
        <v>18.3</v>
      </c>
    </row>
    <row r="16" spans="1:14" x14ac:dyDescent="0.2">
      <c r="A16" s="27" t="s">
        <v>66</v>
      </c>
      <c r="B16" s="28">
        <v>21.3</v>
      </c>
      <c r="C16" s="28">
        <v>20.9</v>
      </c>
      <c r="D16" s="28">
        <v>20.6</v>
      </c>
      <c r="E16" s="28">
        <v>21</v>
      </c>
      <c r="F16" s="28">
        <v>20.6</v>
      </c>
      <c r="G16" s="28">
        <v>21.2</v>
      </c>
      <c r="H16" s="28">
        <v>21.5</v>
      </c>
      <c r="I16" s="28">
        <v>21.5</v>
      </c>
      <c r="J16" s="28">
        <v>20.6</v>
      </c>
      <c r="K16" s="28">
        <v>21.6</v>
      </c>
      <c r="L16" s="28">
        <v>22</v>
      </c>
      <c r="M16" s="28">
        <v>21.6</v>
      </c>
      <c r="N16" s="29">
        <v>21.8</v>
      </c>
    </row>
    <row r="17" spans="1:14" x14ac:dyDescent="0.2">
      <c r="A17" s="22" t="s">
        <v>67</v>
      </c>
      <c r="B17" s="23">
        <v>18.399999999999999</v>
      </c>
      <c r="C17" s="23">
        <v>17.899999999999999</v>
      </c>
      <c r="D17" s="4">
        <v>17.7</v>
      </c>
      <c r="E17" s="23">
        <v>17.899999999999999</v>
      </c>
      <c r="F17" s="23">
        <v>17.7</v>
      </c>
      <c r="G17" s="23">
        <v>18.100000000000001</v>
      </c>
      <c r="H17" s="23">
        <v>18.100000000000001</v>
      </c>
      <c r="I17" s="23">
        <v>17.8</v>
      </c>
      <c r="J17" s="23">
        <v>17.5</v>
      </c>
      <c r="K17" s="23">
        <v>19.2</v>
      </c>
      <c r="L17" s="23">
        <v>18.600000000000001</v>
      </c>
      <c r="M17" s="23">
        <v>18.5</v>
      </c>
      <c r="N17" s="24">
        <v>19.2</v>
      </c>
    </row>
    <row r="18" spans="1:14" x14ac:dyDescent="0.2">
      <c r="A18" s="25" t="s">
        <v>68</v>
      </c>
      <c r="B18" s="4">
        <v>17.399999999999999</v>
      </c>
      <c r="C18" s="4">
        <v>17.5</v>
      </c>
      <c r="D18" s="4">
        <v>17.3</v>
      </c>
      <c r="E18" s="4">
        <v>17</v>
      </c>
      <c r="F18" s="4">
        <v>16.899999999999999</v>
      </c>
      <c r="G18" s="4">
        <v>17.3</v>
      </c>
      <c r="H18" s="4">
        <v>17.8</v>
      </c>
      <c r="I18" s="4">
        <v>17.5</v>
      </c>
      <c r="J18" s="4">
        <v>17.399999999999999</v>
      </c>
      <c r="K18" s="4">
        <v>17.5</v>
      </c>
      <c r="L18" s="4">
        <v>18.100000000000001</v>
      </c>
      <c r="M18" s="4">
        <v>17.8</v>
      </c>
      <c r="N18" s="26">
        <v>17.8</v>
      </c>
    </row>
    <row r="19" spans="1:14" x14ac:dyDescent="0.2">
      <c r="A19" s="25" t="s">
        <v>69</v>
      </c>
      <c r="B19" s="4">
        <v>18.2</v>
      </c>
      <c r="C19" s="4">
        <v>17.8</v>
      </c>
      <c r="D19" s="4">
        <v>17.899999999999999</v>
      </c>
      <c r="E19" s="4">
        <v>17.8</v>
      </c>
      <c r="F19" s="4">
        <v>18.2</v>
      </c>
      <c r="G19" s="4">
        <v>18.5</v>
      </c>
      <c r="H19" s="4">
        <v>18.600000000000001</v>
      </c>
      <c r="I19" s="4">
        <v>18.5</v>
      </c>
      <c r="J19" s="4">
        <v>18.100000000000001</v>
      </c>
      <c r="K19" s="4">
        <v>19.399999999999999</v>
      </c>
      <c r="L19" s="4">
        <v>18.7</v>
      </c>
      <c r="M19" s="4">
        <v>19.3</v>
      </c>
      <c r="N19" s="26">
        <v>18.8</v>
      </c>
    </row>
    <row r="20" spans="1:14" x14ac:dyDescent="0.2">
      <c r="A20" s="25" t="s">
        <v>70</v>
      </c>
      <c r="B20" s="4">
        <v>19.100000000000001</v>
      </c>
      <c r="C20" s="4">
        <v>19.2</v>
      </c>
      <c r="D20" s="4">
        <v>18.899999999999999</v>
      </c>
      <c r="E20" s="4">
        <v>18.8</v>
      </c>
      <c r="F20" s="4">
        <v>19.5</v>
      </c>
      <c r="G20" s="4">
        <v>20</v>
      </c>
      <c r="H20" s="4">
        <v>20.100000000000001</v>
      </c>
      <c r="I20" s="4">
        <v>19.3</v>
      </c>
      <c r="J20" s="4">
        <v>19</v>
      </c>
      <c r="K20" s="4">
        <v>19.8</v>
      </c>
      <c r="L20" s="4">
        <v>19.899999999999999</v>
      </c>
      <c r="M20" s="4">
        <v>20</v>
      </c>
      <c r="N20" s="26">
        <v>19.8</v>
      </c>
    </row>
    <row r="21" spans="1:14" x14ac:dyDescent="0.2">
      <c r="A21" s="27" t="s">
        <v>71</v>
      </c>
      <c r="B21" s="28">
        <v>16.8</v>
      </c>
      <c r="C21" s="28">
        <v>16.7</v>
      </c>
      <c r="D21" s="4">
        <v>16.600000000000001</v>
      </c>
      <c r="E21" s="28">
        <v>16.7</v>
      </c>
      <c r="F21" s="28">
        <v>17</v>
      </c>
      <c r="G21" s="28">
        <v>17.5</v>
      </c>
      <c r="H21" s="28">
        <v>17.399999999999999</v>
      </c>
      <c r="I21" s="28">
        <v>16.899999999999999</v>
      </c>
      <c r="J21" s="28">
        <v>17</v>
      </c>
      <c r="K21" s="28">
        <v>17.8</v>
      </c>
      <c r="L21" s="28">
        <v>17.399999999999999</v>
      </c>
      <c r="M21" s="28">
        <v>17.7</v>
      </c>
      <c r="N21" s="29">
        <v>17</v>
      </c>
    </row>
    <row r="22" spans="1:14" x14ac:dyDescent="0.2">
      <c r="A22" s="22" t="s">
        <v>45</v>
      </c>
      <c r="B22" s="23">
        <v>18.8</v>
      </c>
      <c r="C22" s="23">
        <v>18.2</v>
      </c>
      <c r="D22" s="23">
        <v>18.3</v>
      </c>
      <c r="E22" s="23">
        <v>18.3</v>
      </c>
      <c r="F22" s="23">
        <v>18</v>
      </c>
      <c r="G22" s="23">
        <v>17.8</v>
      </c>
      <c r="H22" s="23">
        <v>17.399999999999999</v>
      </c>
      <c r="I22" s="23">
        <v>17.3</v>
      </c>
      <c r="J22" s="23">
        <v>16.8</v>
      </c>
      <c r="K22" s="23">
        <v>17.100000000000001</v>
      </c>
      <c r="L22" s="23">
        <v>18.399999999999999</v>
      </c>
      <c r="M22" s="23">
        <v>19.100000000000001</v>
      </c>
      <c r="N22" s="24">
        <v>19.3</v>
      </c>
    </row>
    <row r="23" spans="1:14" x14ac:dyDescent="0.2">
      <c r="A23" s="25" t="s">
        <v>46</v>
      </c>
      <c r="B23" s="4">
        <v>17.3</v>
      </c>
      <c r="C23" s="4">
        <v>17.100000000000001</v>
      </c>
      <c r="D23" s="4">
        <v>16.899999999999999</v>
      </c>
      <c r="E23" s="4">
        <v>16.8</v>
      </c>
      <c r="F23" s="4">
        <v>16.600000000000001</v>
      </c>
      <c r="G23" s="4">
        <v>16.8</v>
      </c>
      <c r="H23" s="4">
        <v>16.5</v>
      </c>
      <c r="I23" s="4">
        <v>16.2</v>
      </c>
      <c r="J23" s="4">
        <v>15.6</v>
      </c>
      <c r="K23" s="4">
        <v>16.899999999999999</v>
      </c>
      <c r="L23" s="4">
        <v>18</v>
      </c>
      <c r="M23" s="4">
        <v>17.7</v>
      </c>
      <c r="N23" s="26">
        <v>17.899999999999999</v>
      </c>
    </row>
    <row r="24" spans="1:14" x14ac:dyDescent="0.2">
      <c r="A24" s="25" t="s">
        <v>47</v>
      </c>
      <c r="B24" s="4">
        <v>18.8</v>
      </c>
      <c r="C24" s="4">
        <v>18.7</v>
      </c>
      <c r="D24" s="4">
        <v>18.5</v>
      </c>
      <c r="E24" s="4">
        <v>18.7</v>
      </c>
      <c r="F24" s="4">
        <v>18.399999999999999</v>
      </c>
      <c r="G24" s="4">
        <v>18.100000000000001</v>
      </c>
      <c r="H24" s="4">
        <v>17.8</v>
      </c>
      <c r="I24" s="4">
        <v>17.7</v>
      </c>
      <c r="J24" s="4">
        <v>17.899999999999999</v>
      </c>
      <c r="K24" s="4">
        <v>18.7</v>
      </c>
      <c r="L24" s="4">
        <v>19.2</v>
      </c>
      <c r="M24" s="4">
        <v>18.8</v>
      </c>
      <c r="N24" s="26">
        <v>19</v>
      </c>
    </row>
    <row r="25" spans="1:14" x14ac:dyDescent="0.2">
      <c r="A25" s="25" t="s">
        <v>48</v>
      </c>
      <c r="B25" s="4">
        <v>18.7</v>
      </c>
      <c r="C25" s="4">
        <v>19.3</v>
      </c>
      <c r="D25" s="4">
        <v>18.7</v>
      </c>
      <c r="E25" s="4">
        <v>18.399999999999999</v>
      </c>
      <c r="F25" s="4">
        <v>18.100000000000001</v>
      </c>
      <c r="G25" s="4">
        <v>18.100000000000001</v>
      </c>
      <c r="H25" s="4">
        <v>17.5</v>
      </c>
      <c r="I25" s="4">
        <v>17.5</v>
      </c>
      <c r="J25" s="4">
        <v>17</v>
      </c>
      <c r="K25" s="4">
        <v>17.5</v>
      </c>
      <c r="L25" s="4">
        <v>19.100000000000001</v>
      </c>
      <c r="M25" s="4">
        <v>18.5</v>
      </c>
      <c r="N25" s="26">
        <v>18.5</v>
      </c>
    </row>
    <row r="26" spans="1:14" x14ac:dyDescent="0.2">
      <c r="A26" s="27" t="s">
        <v>49</v>
      </c>
      <c r="B26" s="28">
        <v>18.600000000000001</v>
      </c>
      <c r="C26" s="28">
        <v>18.3</v>
      </c>
      <c r="D26" s="28">
        <v>18.3</v>
      </c>
      <c r="E26" s="28">
        <v>18</v>
      </c>
      <c r="F26" s="28">
        <v>17.7</v>
      </c>
      <c r="G26" s="28">
        <v>17.899999999999999</v>
      </c>
      <c r="H26" s="28">
        <v>17.399999999999999</v>
      </c>
      <c r="I26" s="28">
        <v>17.3</v>
      </c>
      <c r="J26" s="28">
        <v>17.399999999999999</v>
      </c>
      <c r="K26" s="28">
        <v>18.899999999999999</v>
      </c>
      <c r="L26" s="28">
        <v>18.899999999999999</v>
      </c>
      <c r="M26" s="28">
        <v>18.600000000000001</v>
      </c>
      <c r="N26" s="29">
        <v>18.7</v>
      </c>
    </row>
    <row r="27" spans="1:14" x14ac:dyDescent="0.2">
      <c r="A27" s="22" t="s">
        <v>50</v>
      </c>
      <c r="B27" s="23">
        <v>18.3</v>
      </c>
      <c r="C27" s="23">
        <v>18.600000000000001</v>
      </c>
      <c r="D27" s="23">
        <v>18.5</v>
      </c>
      <c r="E27" s="23">
        <v>18.3</v>
      </c>
      <c r="F27" s="23">
        <v>18</v>
      </c>
      <c r="G27" s="23">
        <v>17.399999999999999</v>
      </c>
      <c r="H27" s="23">
        <v>17.399999999999999</v>
      </c>
      <c r="I27" s="23">
        <v>17.2</v>
      </c>
      <c r="J27" s="23">
        <v>16.899999999999999</v>
      </c>
      <c r="K27" s="23">
        <v>17.899999999999999</v>
      </c>
      <c r="L27" s="23">
        <v>18.7</v>
      </c>
      <c r="M27" s="23">
        <v>18.8</v>
      </c>
      <c r="N27" s="24">
        <v>19</v>
      </c>
    </row>
    <row r="28" spans="1:14" x14ac:dyDescent="0.2">
      <c r="A28" s="25" t="s">
        <v>51</v>
      </c>
      <c r="B28" s="4">
        <v>21.1</v>
      </c>
      <c r="C28" s="4">
        <v>21.5</v>
      </c>
      <c r="D28" s="4">
        <v>21</v>
      </c>
      <c r="E28" s="4">
        <v>21.2</v>
      </c>
      <c r="F28" s="4">
        <v>20.8</v>
      </c>
      <c r="G28" s="4">
        <v>20.6</v>
      </c>
      <c r="H28" s="4">
        <v>20.3</v>
      </c>
      <c r="I28" s="4">
        <v>20.3</v>
      </c>
      <c r="J28" s="4">
        <v>21.1</v>
      </c>
      <c r="K28" s="4">
        <v>21</v>
      </c>
      <c r="L28" s="4">
        <v>20.9</v>
      </c>
      <c r="M28" s="4">
        <v>20.5</v>
      </c>
      <c r="N28" s="26">
        <v>20.5</v>
      </c>
    </row>
    <row r="29" spans="1:14" x14ac:dyDescent="0.2">
      <c r="A29" s="25" t="s">
        <v>52</v>
      </c>
      <c r="B29" s="4">
        <v>20.399999999999999</v>
      </c>
      <c r="C29" s="4">
        <v>20.6</v>
      </c>
      <c r="D29" s="4">
        <v>20.3</v>
      </c>
      <c r="E29" s="4">
        <v>20.3</v>
      </c>
      <c r="F29" s="4">
        <v>19.899999999999999</v>
      </c>
      <c r="G29" s="4">
        <v>19.8</v>
      </c>
      <c r="H29" s="4">
        <v>19.600000000000001</v>
      </c>
      <c r="I29" s="4">
        <v>19.600000000000001</v>
      </c>
      <c r="J29" s="4">
        <v>19</v>
      </c>
      <c r="K29" s="4">
        <v>20.100000000000001</v>
      </c>
      <c r="L29" s="4">
        <v>20.6</v>
      </c>
      <c r="M29" s="4">
        <v>20.9</v>
      </c>
      <c r="N29" s="26">
        <v>20.2</v>
      </c>
    </row>
    <row r="30" spans="1:14" x14ac:dyDescent="0.2">
      <c r="A30" s="25" t="s">
        <v>53</v>
      </c>
      <c r="B30" s="4">
        <v>17.600000000000001</v>
      </c>
      <c r="C30" s="4">
        <v>17.3</v>
      </c>
      <c r="D30" s="4">
        <v>17.3</v>
      </c>
      <c r="E30" s="4">
        <v>17.2</v>
      </c>
      <c r="F30" s="4">
        <v>17.399999999999999</v>
      </c>
      <c r="G30" s="4">
        <v>17.2</v>
      </c>
      <c r="H30" s="4">
        <v>16.899999999999999</v>
      </c>
      <c r="I30" s="4">
        <v>16.899999999999999</v>
      </c>
      <c r="J30" s="4">
        <v>16.7</v>
      </c>
      <c r="K30" s="4">
        <v>17.600000000000001</v>
      </c>
      <c r="L30" s="4">
        <v>18</v>
      </c>
      <c r="M30" s="4">
        <v>18.600000000000001</v>
      </c>
      <c r="N30" s="26">
        <v>18.5</v>
      </c>
    </row>
    <row r="31" spans="1:14" x14ac:dyDescent="0.2">
      <c r="A31" s="27" t="s">
        <v>54</v>
      </c>
      <c r="B31" s="28">
        <v>19.100000000000001</v>
      </c>
      <c r="C31" s="28">
        <v>18.7</v>
      </c>
      <c r="D31" s="28">
        <v>18.399999999999999</v>
      </c>
      <c r="E31" s="28">
        <v>18.600000000000001</v>
      </c>
      <c r="F31" s="28">
        <v>18.600000000000001</v>
      </c>
      <c r="G31" s="28">
        <v>18</v>
      </c>
      <c r="H31" s="28">
        <v>17.600000000000001</v>
      </c>
      <c r="I31" s="28">
        <v>17.600000000000001</v>
      </c>
      <c r="J31" s="28">
        <v>17.100000000000001</v>
      </c>
      <c r="K31" s="28">
        <v>18</v>
      </c>
      <c r="L31" s="28">
        <v>19.100000000000001</v>
      </c>
      <c r="M31" s="28">
        <v>19.5</v>
      </c>
      <c r="N31" s="29">
        <v>20.100000000000001</v>
      </c>
    </row>
    <row r="33" spans="1:14" x14ac:dyDescent="0.2">
      <c r="A33" s="21" t="s">
        <v>56</v>
      </c>
      <c r="B33" s="21" t="s">
        <v>28</v>
      </c>
      <c r="C33" s="21" t="s">
        <v>29</v>
      </c>
      <c r="D33" s="21" t="s">
        <v>30</v>
      </c>
      <c r="E33" s="21" t="s">
        <v>31</v>
      </c>
      <c r="F33" s="21" t="s">
        <v>32</v>
      </c>
      <c r="G33" s="21" t="s">
        <v>33</v>
      </c>
      <c r="H33" s="21" t="s">
        <v>34</v>
      </c>
      <c r="I33" s="21" t="s">
        <v>35</v>
      </c>
      <c r="J33" s="21" t="s">
        <v>36</v>
      </c>
      <c r="K33" s="21" t="s">
        <v>37</v>
      </c>
      <c r="L33" s="21" t="s">
        <v>38</v>
      </c>
      <c r="M33" s="21" t="s">
        <v>55</v>
      </c>
      <c r="N33" s="21" t="s">
        <v>39</v>
      </c>
    </row>
    <row r="34" spans="1:14" x14ac:dyDescent="0.2">
      <c r="A34" s="22" t="s">
        <v>57</v>
      </c>
      <c r="B34" s="30">
        <v>100</v>
      </c>
      <c r="C34" s="31">
        <f t="shared" ref="C34:N34" si="0">$B34*C2/$B2</f>
        <v>100.58479532163742</v>
      </c>
      <c r="D34" s="31">
        <f t="shared" si="0"/>
        <v>100.58479532163742</v>
      </c>
      <c r="E34" s="31">
        <f t="shared" si="0"/>
        <v>102.92397660818713</v>
      </c>
      <c r="F34" s="31">
        <f t="shared" si="0"/>
        <v>101.75438596491226</v>
      </c>
      <c r="G34" s="31">
        <f t="shared" si="0"/>
        <v>102.3391812865497</v>
      </c>
      <c r="H34" s="31">
        <f t="shared" si="0"/>
        <v>100</v>
      </c>
      <c r="I34" s="31">
        <f t="shared" si="0"/>
        <v>98.830409356725127</v>
      </c>
      <c r="J34" s="31">
        <f t="shared" si="0"/>
        <v>100.58479532163742</v>
      </c>
      <c r="K34" s="31">
        <f t="shared" si="0"/>
        <v>104.67836257309939</v>
      </c>
      <c r="L34" s="31">
        <f t="shared" si="0"/>
        <v>102.92397660818713</v>
      </c>
      <c r="M34" s="31">
        <f t="shared" si="0"/>
        <v>108.77192982456141</v>
      </c>
      <c r="N34" s="32">
        <f t="shared" si="0"/>
        <v>105.84795321637428</v>
      </c>
    </row>
    <row r="35" spans="1:14" x14ac:dyDescent="0.2">
      <c r="A35" s="25" t="s">
        <v>58</v>
      </c>
      <c r="B35" s="33">
        <v>100</v>
      </c>
      <c r="C35" s="5">
        <f t="shared" ref="C35:N35" si="1">$B35*C3/$B3</f>
        <v>96.174863387978149</v>
      </c>
      <c r="D35" s="5">
        <f t="shared" si="1"/>
        <v>96.721311475409834</v>
      </c>
      <c r="E35" s="5">
        <f t="shared" si="1"/>
        <v>98.360655737704917</v>
      </c>
      <c r="F35" s="5">
        <f t="shared" si="1"/>
        <v>97.814207650273204</v>
      </c>
      <c r="G35" s="5">
        <f t="shared" si="1"/>
        <v>98.907103825136616</v>
      </c>
      <c r="H35" s="5">
        <f t="shared" si="1"/>
        <v>98.360655737704917</v>
      </c>
      <c r="I35" s="5">
        <f t="shared" si="1"/>
        <v>97.267759562841533</v>
      </c>
      <c r="J35" s="5">
        <f t="shared" si="1"/>
        <v>98.360655737704917</v>
      </c>
      <c r="K35" s="5">
        <f t="shared" si="1"/>
        <v>98.907103825136616</v>
      </c>
      <c r="L35" s="5">
        <f t="shared" si="1"/>
        <v>100.54644808743167</v>
      </c>
      <c r="M35" s="5">
        <f t="shared" si="1"/>
        <v>100</v>
      </c>
      <c r="N35" s="34">
        <f t="shared" si="1"/>
        <v>101.6393442622951</v>
      </c>
    </row>
    <row r="36" spans="1:14" x14ac:dyDescent="0.2">
      <c r="A36" s="25" t="s">
        <v>59</v>
      </c>
      <c r="B36" s="33">
        <v>100</v>
      </c>
      <c r="C36" s="5">
        <f t="shared" ref="C36:N36" si="2">$B36*C4/$B4</f>
        <v>101.64835164835165</v>
      </c>
      <c r="D36" s="5">
        <f t="shared" si="2"/>
        <v>100.54945054945055</v>
      </c>
      <c r="E36" s="5">
        <f t="shared" si="2"/>
        <v>101.64835164835165</v>
      </c>
      <c r="F36" s="5">
        <f t="shared" si="2"/>
        <v>100</v>
      </c>
      <c r="G36" s="5">
        <f t="shared" si="2"/>
        <v>99.450549450549474</v>
      </c>
      <c r="H36" s="5">
        <f t="shared" si="2"/>
        <v>98.901098901098905</v>
      </c>
      <c r="I36" s="5">
        <f t="shared" si="2"/>
        <v>100</v>
      </c>
      <c r="J36" s="5">
        <f t="shared" si="2"/>
        <v>99.450549450549474</v>
      </c>
      <c r="K36" s="5">
        <f t="shared" si="2"/>
        <v>101.64835164835165</v>
      </c>
      <c r="L36" s="5">
        <f t="shared" si="2"/>
        <v>101.09890109890109</v>
      </c>
      <c r="M36" s="5">
        <f t="shared" si="2"/>
        <v>102.74725274725274</v>
      </c>
      <c r="N36" s="34">
        <f t="shared" si="2"/>
        <v>101.64835164835165</v>
      </c>
    </row>
    <row r="37" spans="1:14" x14ac:dyDescent="0.2">
      <c r="A37" s="25" t="s">
        <v>60</v>
      </c>
      <c r="B37" s="33">
        <v>100</v>
      </c>
      <c r="C37" s="5">
        <f t="shared" ref="C37:N37" si="3">$B37*C5/$B5</f>
        <v>99.447513812154682</v>
      </c>
      <c r="D37" s="5">
        <f t="shared" si="3"/>
        <v>100</v>
      </c>
      <c r="E37" s="5">
        <f t="shared" si="3"/>
        <v>100</v>
      </c>
      <c r="F37" s="5">
        <f t="shared" si="3"/>
        <v>103.86740331491711</v>
      </c>
      <c r="G37" s="5">
        <f t="shared" si="3"/>
        <v>102.2099447513812</v>
      </c>
      <c r="H37" s="5">
        <f t="shared" si="3"/>
        <v>100</v>
      </c>
      <c r="I37" s="5">
        <f t="shared" si="3"/>
        <v>98.342541436464074</v>
      </c>
      <c r="J37" s="5">
        <f t="shared" si="3"/>
        <v>100</v>
      </c>
      <c r="K37" s="5">
        <f t="shared" si="3"/>
        <v>104.41988950276242</v>
      </c>
      <c r="L37" s="5">
        <f t="shared" si="3"/>
        <v>101.10497237569059</v>
      </c>
      <c r="M37" s="5">
        <f t="shared" si="3"/>
        <v>104.41988950276242</v>
      </c>
      <c r="N37" s="34">
        <f t="shared" si="3"/>
        <v>101.6574585635359</v>
      </c>
    </row>
    <row r="38" spans="1:14" x14ac:dyDescent="0.2">
      <c r="A38" s="27" t="s">
        <v>61</v>
      </c>
      <c r="B38" s="35">
        <v>100</v>
      </c>
      <c r="C38" s="36">
        <f t="shared" ref="C38:N38" si="4">$B38*C6/$B6</f>
        <v>99.390243902439039</v>
      </c>
      <c r="D38" s="36">
        <f t="shared" si="4"/>
        <v>100</v>
      </c>
      <c r="E38" s="36">
        <f t="shared" si="4"/>
        <v>101.21951219512198</v>
      </c>
      <c r="F38" s="36">
        <f t="shared" si="4"/>
        <v>101.82926829268294</v>
      </c>
      <c r="G38" s="36">
        <f t="shared" si="4"/>
        <v>101.82926829268294</v>
      </c>
      <c r="H38" s="36">
        <f t="shared" si="4"/>
        <v>101.82926829268294</v>
      </c>
      <c r="I38" s="36">
        <f t="shared" si="4"/>
        <v>100.60975609756099</v>
      </c>
      <c r="J38" s="36">
        <f t="shared" si="4"/>
        <v>97.560975609756099</v>
      </c>
      <c r="K38" s="36">
        <f t="shared" si="4"/>
        <v>97.560975609756099</v>
      </c>
      <c r="L38" s="36">
        <f t="shared" si="4"/>
        <v>102.43902439024392</v>
      </c>
      <c r="M38" s="36">
        <f t="shared" si="4"/>
        <v>101.82926829268294</v>
      </c>
      <c r="N38" s="37">
        <f t="shared" si="4"/>
        <v>104.26829268292686</v>
      </c>
    </row>
    <row r="39" spans="1:14" x14ac:dyDescent="0.2">
      <c r="A39" s="22" t="s">
        <v>40</v>
      </c>
      <c r="B39" s="30">
        <v>100</v>
      </c>
      <c r="C39" s="31">
        <f t="shared" ref="C39:N39" si="5">$B39*C7/$B7</f>
        <v>101.16279069767441</v>
      </c>
      <c r="D39" s="31">
        <f t="shared" si="5"/>
        <v>99.418604651162809</v>
      </c>
      <c r="E39" s="31">
        <f t="shared" si="5"/>
        <v>101.16279069767441</v>
      </c>
      <c r="F39" s="31">
        <f t="shared" si="5"/>
        <v>100</v>
      </c>
      <c r="G39" s="31">
        <f t="shared" si="5"/>
        <v>102.90697674418605</v>
      </c>
      <c r="H39" s="31">
        <f t="shared" si="5"/>
        <v>101.74418604651163</v>
      </c>
      <c r="I39" s="31">
        <f t="shared" si="5"/>
        <v>102.32558139534885</v>
      </c>
      <c r="J39" s="31">
        <f t="shared" si="5"/>
        <v>102.32558139534885</v>
      </c>
      <c r="K39" s="31">
        <f t="shared" si="5"/>
        <v>104.65116279069768</v>
      </c>
      <c r="L39" s="31">
        <f t="shared" si="5"/>
        <v>109.88372093023256</v>
      </c>
      <c r="M39" s="31">
        <f t="shared" si="5"/>
        <v>109.30232558139535</v>
      </c>
      <c r="N39" s="32">
        <f t="shared" si="5"/>
        <v>112.7906976744186</v>
      </c>
    </row>
    <row r="40" spans="1:14" x14ac:dyDescent="0.2">
      <c r="A40" s="25" t="s">
        <v>41</v>
      </c>
      <c r="B40" s="33">
        <v>100</v>
      </c>
      <c r="C40" s="5">
        <f t="shared" ref="C40:N40" si="6">$B40*C8/$B8</f>
        <v>100.57471264367817</v>
      </c>
      <c r="D40" s="5">
        <f t="shared" si="6"/>
        <v>97.126436781609186</v>
      </c>
      <c r="E40" s="5">
        <f t="shared" si="6"/>
        <v>100</v>
      </c>
      <c r="F40" s="5">
        <f t="shared" si="6"/>
        <v>101.14942528735634</v>
      </c>
      <c r="G40" s="5">
        <f t="shared" si="6"/>
        <v>104.02298850574715</v>
      </c>
      <c r="H40" s="5">
        <f t="shared" si="6"/>
        <v>102.8735632183908</v>
      </c>
      <c r="I40" s="5">
        <f t="shared" si="6"/>
        <v>101.14942528735634</v>
      </c>
      <c r="J40" s="5">
        <f t="shared" si="6"/>
        <v>98.850574712643692</v>
      </c>
      <c r="K40" s="5">
        <f t="shared" si="6"/>
        <v>101.72413793103449</v>
      </c>
      <c r="L40" s="5">
        <f>$B40*L8/$B8</f>
        <v>104.02298850574715</v>
      </c>
      <c r="M40" s="5">
        <f t="shared" si="6"/>
        <v>107.4712643678161</v>
      </c>
      <c r="N40" s="34">
        <f t="shared" si="6"/>
        <v>108.62068965517241</v>
      </c>
    </row>
    <row r="41" spans="1:14" x14ac:dyDescent="0.2">
      <c r="A41" s="25" t="s">
        <v>42</v>
      </c>
      <c r="B41" s="33">
        <v>100</v>
      </c>
      <c r="C41" s="5">
        <f t="shared" ref="C41:N41" si="7">$B41*C9/$B9</f>
        <v>100</v>
      </c>
      <c r="D41" s="5">
        <f t="shared" si="7"/>
        <v>100.55555555555557</v>
      </c>
      <c r="E41" s="5">
        <f t="shared" si="7"/>
        <v>102.77777777777777</v>
      </c>
      <c r="F41" s="5">
        <f t="shared" si="7"/>
        <v>101.11111111111111</v>
      </c>
      <c r="G41" s="5">
        <f t="shared" si="7"/>
        <v>102.22222222222221</v>
      </c>
      <c r="H41" s="5">
        <f t="shared" si="7"/>
        <v>100</v>
      </c>
      <c r="I41" s="5">
        <f t="shared" si="7"/>
        <v>98.333333333333329</v>
      </c>
      <c r="J41" s="5">
        <f t="shared" si="7"/>
        <v>97.777777777777786</v>
      </c>
      <c r="K41" s="5">
        <f t="shared" si="7"/>
        <v>101.66666666666667</v>
      </c>
      <c r="L41" s="5">
        <f t="shared" si="7"/>
        <v>102.22222222222221</v>
      </c>
      <c r="M41" s="5">
        <f t="shared" si="7"/>
        <v>103.88888888888889</v>
      </c>
      <c r="N41" s="34">
        <f t="shared" si="7"/>
        <v>103.33333333333334</v>
      </c>
    </row>
    <row r="42" spans="1:14" x14ac:dyDescent="0.2">
      <c r="A42" s="25" t="s">
        <v>43</v>
      </c>
      <c r="B42" s="33">
        <v>100</v>
      </c>
      <c r="C42" s="5">
        <f t="shared" ref="C42:N42" si="8">$B42*C10/$B10</f>
        <v>98.857142857142861</v>
      </c>
      <c r="D42" s="5">
        <f t="shared" si="8"/>
        <v>99.428571428571416</v>
      </c>
      <c r="E42" s="5">
        <f t="shared" si="8"/>
        <v>103.42857142857144</v>
      </c>
      <c r="F42" s="5">
        <f t="shared" si="8"/>
        <v>101.71428571428571</v>
      </c>
      <c r="G42" s="5">
        <f t="shared" si="8"/>
        <v>102.85714285714286</v>
      </c>
      <c r="H42" s="5">
        <f t="shared" si="8"/>
        <v>102.85714285714286</v>
      </c>
      <c r="I42" s="5">
        <f t="shared" si="8"/>
        <v>102.28571428571428</v>
      </c>
      <c r="J42" s="5">
        <f t="shared" si="8"/>
        <v>101.14285714285714</v>
      </c>
      <c r="K42" s="5">
        <f t="shared" si="8"/>
        <v>104</v>
      </c>
      <c r="L42" s="5">
        <f t="shared" si="8"/>
        <v>105.14285714285712</v>
      </c>
      <c r="M42" s="5">
        <f t="shared" si="8"/>
        <v>106.85714285714286</v>
      </c>
      <c r="N42" s="34">
        <f t="shared" si="8"/>
        <v>105.14285714285712</v>
      </c>
    </row>
    <row r="43" spans="1:14" x14ac:dyDescent="0.2">
      <c r="A43" s="27" t="s">
        <v>44</v>
      </c>
      <c r="B43" s="35">
        <v>100</v>
      </c>
      <c r="C43" s="36">
        <f t="shared" ref="C43:N43" si="9">$B43*C11/$B11</f>
        <v>99.421965317919074</v>
      </c>
      <c r="D43" s="36">
        <f t="shared" si="9"/>
        <v>100</v>
      </c>
      <c r="E43" s="36">
        <f t="shared" si="9"/>
        <v>101.73410404624278</v>
      </c>
      <c r="F43" s="36">
        <f t="shared" si="9"/>
        <v>102.31213872832369</v>
      </c>
      <c r="G43" s="36">
        <f t="shared" si="9"/>
        <v>102.31213872832369</v>
      </c>
      <c r="H43" s="36">
        <f t="shared" si="9"/>
        <v>102.31213872832369</v>
      </c>
      <c r="I43" s="36">
        <f t="shared" si="9"/>
        <v>101.15606936416185</v>
      </c>
      <c r="J43" s="36">
        <f t="shared" si="9"/>
        <v>98.265895953757223</v>
      </c>
      <c r="K43" s="36">
        <f t="shared" si="9"/>
        <v>102.31213872832369</v>
      </c>
      <c r="L43" s="36">
        <f t="shared" si="9"/>
        <v>102.89017341040461</v>
      </c>
      <c r="M43" s="36">
        <f t="shared" si="9"/>
        <v>102.89017341040461</v>
      </c>
      <c r="N43" s="37">
        <f t="shared" si="9"/>
        <v>105.20231213872832</v>
      </c>
    </row>
    <row r="44" spans="1:14" x14ac:dyDescent="0.2">
      <c r="A44" s="22" t="s">
        <v>62</v>
      </c>
      <c r="B44" s="30">
        <v>100</v>
      </c>
      <c r="C44" s="31">
        <f t="shared" ref="C44:N44" si="10">$B44*C12/$B12</f>
        <v>98.101265822784811</v>
      </c>
      <c r="D44" s="31">
        <f t="shared" si="10"/>
        <v>102.53164556962025</v>
      </c>
      <c r="E44" s="31">
        <f t="shared" si="10"/>
        <v>106.96202531645568</v>
      </c>
      <c r="F44" s="31">
        <f t="shared" si="10"/>
        <v>105.69620253164557</v>
      </c>
      <c r="G44" s="31">
        <f t="shared" si="10"/>
        <v>106.32911392405063</v>
      </c>
      <c r="H44" s="31">
        <f t="shared" si="10"/>
        <v>104.43037974683544</v>
      </c>
      <c r="I44" s="31">
        <f t="shared" si="10"/>
        <v>104.43037974683544</v>
      </c>
      <c r="J44" s="31">
        <f t="shared" si="10"/>
        <v>101.8987341772152</v>
      </c>
      <c r="K44" s="31">
        <f>$B44*L7/$B12</f>
        <v>119.62025316455694</v>
      </c>
      <c r="L44" s="31">
        <f t="shared" si="10"/>
        <v>108.22784810126583</v>
      </c>
      <c r="M44" s="31">
        <f t="shared" si="10"/>
        <v>105.69620253164557</v>
      </c>
      <c r="N44" s="32">
        <f t="shared" si="10"/>
        <v>105.06329113924052</v>
      </c>
    </row>
    <row r="45" spans="1:14" x14ac:dyDescent="0.2">
      <c r="A45" s="25" t="s">
        <v>63</v>
      </c>
      <c r="B45" s="33">
        <v>100</v>
      </c>
      <c r="C45" s="5">
        <f t="shared" ref="C45:N45" si="11">$B45*C13/$B13</f>
        <v>100.64102564102565</v>
      </c>
      <c r="D45" s="5">
        <f t="shared" si="11"/>
        <v>101.28205128205128</v>
      </c>
      <c r="E45" s="5">
        <f t="shared" si="11"/>
        <v>101.28205128205128</v>
      </c>
      <c r="F45" s="5">
        <f t="shared" si="11"/>
        <v>102.56410256410257</v>
      </c>
      <c r="G45" s="5">
        <f t="shared" si="11"/>
        <v>104.48717948717949</v>
      </c>
      <c r="H45" s="5">
        <f t="shared" si="11"/>
        <v>101.28205128205128</v>
      </c>
      <c r="I45" s="5">
        <f t="shared" si="11"/>
        <v>100.64102564102565</v>
      </c>
      <c r="J45" s="5">
        <f t="shared" si="11"/>
        <v>98.717948717948715</v>
      </c>
      <c r="K45" s="5">
        <f>$B45*L8/$B13</f>
        <v>116.02564102564104</v>
      </c>
      <c r="L45" s="5">
        <f t="shared" si="11"/>
        <v>103.84615384615385</v>
      </c>
      <c r="M45" s="5">
        <f t="shared" si="11"/>
        <v>105.12820512820511</v>
      </c>
      <c r="N45" s="34">
        <f t="shared" si="11"/>
        <v>105.76923076923077</v>
      </c>
    </row>
    <row r="46" spans="1:14" x14ac:dyDescent="0.2">
      <c r="A46" s="25" t="s">
        <v>64</v>
      </c>
      <c r="B46" s="33">
        <v>100</v>
      </c>
      <c r="C46" s="5">
        <f t="shared" ref="C46:N46" si="12">$B46*C14/$B14</f>
        <v>99.519230769230759</v>
      </c>
      <c r="D46" s="5">
        <f t="shared" si="12"/>
        <v>100.48076923076923</v>
      </c>
      <c r="E46" s="5">
        <f t="shared" si="12"/>
        <v>100</v>
      </c>
      <c r="F46" s="5">
        <f t="shared" si="12"/>
        <v>100.96153846153845</v>
      </c>
      <c r="G46" s="5">
        <f t="shared" si="12"/>
        <v>101.92307692307692</v>
      </c>
      <c r="H46" s="5">
        <f t="shared" si="12"/>
        <v>100.96153846153845</v>
      </c>
      <c r="I46" s="5">
        <f t="shared" si="12"/>
        <v>100.48076923076923</v>
      </c>
      <c r="J46" s="5">
        <f t="shared" si="12"/>
        <v>97.59615384615384</v>
      </c>
      <c r="K46" s="5">
        <f>$B46*L9/$B14</f>
        <v>88.461538461538453</v>
      </c>
      <c r="L46" s="5">
        <f t="shared" si="12"/>
        <v>99.038461538461533</v>
      </c>
      <c r="M46" s="5">
        <f t="shared" si="12"/>
        <v>100.48076923076923</v>
      </c>
      <c r="N46" s="34">
        <f t="shared" si="12"/>
        <v>105.76923076923076</v>
      </c>
    </row>
    <row r="47" spans="1:14" x14ac:dyDescent="0.2">
      <c r="A47" s="25" t="s">
        <v>65</v>
      </c>
      <c r="B47" s="33">
        <v>100</v>
      </c>
      <c r="C47" s="5">
        <f t="shared" ref="C47:N47" si="13">$B47*C15/$B15</f>
        <v>97.126436781609186</v>
      </c>
      <c r="D47" s="5">
        <f t="shared" si="13"/>
        <v>98.275862068965537</v>
      </c>
      <c r="E47" s="5">
        <f t="shared" si="13"/>
        <v>98.275862068965537</v>
      </c>
      <c r="F47" s="5">
        <f t="shared" si="13"/>
        <v>99.425287356321846</v>
      </c>
      <c r="G47" s="5">
        <f t="shared" si="13"/>
        <v>100.57471264367817</v>
      </c>
      <c r="H47" s="5">
        <f t="shared" si="13"/>
        <v>100</v>
      </c>
      <c r="I47" s="5">
        <f t="shared" si="13"/>
        <v>98.850574712643692</v>
      </c>
      <c r="J47" s="5">
        <f t="shared" si="13"/>
        <v>98.275862068965537</v>
      </c>
      <c r="K47" s="5">
        <f>$B47*L10/$B15</f>
        <v>105.7471264367816</v>
      </c>
      <c r="L47" s="5">
        <f t="shared" si="13"/>
        <v>106.32183908045978</v>
      </c>
      <c r="M47" s="5">
        <f t="shared" si="13"/>
        <v>102.29885057471265</v>
      </c>
      <c r="N47" s="34">
        <f t="shared" si="13"/>
        <v>105.17241379310346</v>
      </c>
    </row>
    <row r="48" spans="1:14" x14ac:dyDescent="0.2">
      <c r="A48" s="27" t="s">
        <v>66</v>
      </c>
      <c r="B48" s="35">
        <v>100</v>
      </c>
      <c r="C48" s="36">
        <f t="shared" ref="C48:N48" si="14">$B48*C16/$B16</f>
        <v>98.122065727699521</v>
      </c>
      <c r="D48" s="36">
        <f t="shared" si="14"/>
        <v>96.713615023474176</v>
      </c>
      <c r="E48" s="36">
        <f t="shared" si="14"/>
        <v>98.591549295774641</v>
      </c>
      <c r="F48" s="36">
        <f t="shared" si="14"/>
        <v>96.713615023474176</v>
      </c>
      <c r="G48" s="36">
        <f t="shared" si="14"/>
        <v>99.53051643192488</v>
      </c>
      <c r="H48" s="36">
        <f t="shared" si="14"/>
        <v>100.93896713615023</v>
      </c>
      <c r="I48" s="36">
        <f t="shared" si="14"/>
        <v>100.93896713615023</v>
      </c>
      <c r="J48" s="36">
        <f t="shared" si="14"/>
        <v>96.713615023474176</v>
      </c>
      <c r="K48" s="36">
        <f>$B48*L11/$B16</f>
        <v>83.568075117370896</v>
      </c>
      <c r="L48" s="36">
        <f t="shared" si="14"/>
        <v>103.28638497652582</v>
      </c>
      <c r="M48" s="36">
        <f t="shared" si="14"/>
        <v>101.40845070422534</v>
      </c>
      <c r="N48" s="37">
        <f t="shared" si="14"/>
        <v>102.34741784037558</v>
      </c>
    </row>
    <row r="49" spans="1:14" x14ac:dyDescent="0.2">
      <c r="A49" s="22" t="s">
        <v>67</v>
      </c>
      <c r="B49" s="30">
        <v>100</v>
      </c>
      <c r="C49" s="31">
        <f t="shared" ref="C49:N49" si="15">$B49*C17/$B17</f>
        <v>97.282608695652172</v>
      </c>
      <c r="D49" s="31">
        <f t="shared" si="15"/>
        <v>96.195652173913047</v>
      </c>
      <c r="E49" s="31">
        <f t="shared" si="15"/>
        <v>97.282608695652172</v>
      </c>
      <c r="F49" s="31">
        <f t="shared" si="15"/>
        <v>96.195652173913047</v>
      </c>
      <c r="G49" s="31">
        <f t="shared" si="15"/>
        <v>98.369565217391326</v>
      </c>
      <c r="H49" s="31">
        <f t="shared" si="15"/>
        <v>98.369565217391326</v>
      </c>
      <c r="I49" s="31">
        <f t="shared" si="15"/>
        <v>96.739130434782609</v>
      </c>
      <c r="J49" s="31">
        <f t="shared" si="15"/>
        <v>95.108695652173921</v>
      </c>
      <c r="K49" s="31">
        <f t="shared" si="15"/>
        <v>104.34782608695653</v>
      </c>
      <c r="L49" s="31">
        <f t="shared" si="15"/>
        <v>101.08695652173915</v>
      </c>
      <c r="M49" s="31">
        <f t="shared" si="15"/>
        <v>100.54347826086958</v>
      </c>
      <c r="N49" s="32">
        <f t="shared" si="15"/>
        <v>104.34782608695653</v>
      </c>
    </row>
    <row r="50" spans="1:14" x14ac:dyDescent="0.2">
      <c r="A50" s="25" t="s">
        <v>68</v>
      </c>
      <c r="B50" s="33">
        <v>100</v>
      </c>
      <c r="C50" s="5">
        <f t="shared" ref="C50:N50" si="16">$B50*C18/$B18</f>
        <v>100.57471264367817</v>
      </c>
      <c r="D50" s="5">
        <f t="shared" si="16"/>
        <v>99.425287356321846</v>
      </c>
      <c r="E50" s="5">
        <f t="shared" si="16"/>
        <v>97.701149425287369</v>
      </c>
      <c r="F50" s="5">
        <f t="shared" si="16"/>
        <v>97.126436781609186</v>
      </c>
      <c r="G50" s="5">
        <f t="shared" si="16"/>
        <v>99.425287356321846</v>
      </c>
      <c r="H50" s="5">
        <f t="shared" si="16"/>
        <v>102.29885057471265</v>
      </c>
      <c r="I50" s="5">
        <f t="shared" si="16"/>
        <v>100.57471264367817</v>
      </c>
      <c r="J50" s="5">
        <f t="shared" si="16"/>
        <v>100</v>
      </c>
      <c r="K50" s="5">
        <f t="shared" si="16"/>
        <v>100.57471264367817</v>
      </c>
      <c r="L50" s="5">
        <f t="shared" si="16"/>
        <v>104.02298850574715</v>
      </c>
      <c r="M50" s="5">
        <f t="shared" si="16"/>
        <v>102.29885057471265</v>
      </c>
      <c r="N50" s="34">
        <f t="shared" si="16"/>
        <v>102.29885057471265</v>
      </c>
    </row>
    <row r="51" spans="1:14" x14ac:dyDescent="0.2">
      <c r="A51" s="25" t="s">
        <v>69</v>
      </c>
      <c r="B51" s="33">
        <v>100</v>
      </c>
      <c r="C51" s="5">
        <f t="shared" ref="C51:N51" si="17">$B51*C19/$B19</f>
        <v>97.80219780219781</v>
      </c>
      <c r="D51" s="5">
        <f t="shared" si="17"/>
        <v>98.351648351648336</v>
      </c>
      <c r="E51" s="5">
        <f t="shared" si="17"/>
        <v>97.80219780219781</v>
      </c>
      <c r="F51" s="5">
        <f t="shared" si="17"/>
        <v>100</v>
      </c>
      <c r="G51" s="5">
        <f t="shared" si="17"/>
        <v>101.64835164835165</v>
      </c>
      <c r="H51" s="5">
        <f t="shared" si="17"/>
        <v>102.19780219780222</v>
      </c>
      <c r="I51" s="5">
        <f t="shared" si="17"/>
        <v>101.64835164835165</v>
      </c>
      <c r="J51" s="5">
        <f t="shared" si="17"/>
        <v>99.450549450549474</v>
      </c>
      <c r="K51" s="5">
        <f t="shared" si="17"/>
        <v>106.59340659340658</v>
      </c>
      <c r="L51" s="5">
        <f t="shared" si="17"/>
        <v>102.74725274725274</v>
      </c>
      <c r="M51" s="5">
        <f t="shared" si="17"/>
        <v>106.04395604395604</v>
      </c>
      <c r="N51" s="34">
        <f t="shared" si="17"/>
        <v>103.2967032967033</v>
      </c>
    </row>
    <row r="52" spans="1:14" x14ac:dyDescent="0.2">
      <c r="A52" s="25" t="s">
        <v>70</v>
      </c>
      <c r="B52" s="33">
        <v>100</v>
      </c>
      <c r="C52" s="5">
        <f t="shared" ref="C52:N52" si="18">$B52*C20/$B20</f>
        <v>100.52356020942408</v>
      </c>
      <c r="D52" s="5">
        <f t="shared" si="18"/>
        <v>98.952879581151819</v>
      </c>
      <c r="E52" s="5">
        <f t="shared" si="18"/>
        <v>98.429319371727743</v>
      </c>
      <c r="F52" s="5">
        <f t="shared" si="18"/>
        <v>102.09424083769633</v>
      </c>
      <c r="G52" s="5">
        <f t="shared" si="18"/>
        <v>104.71204188481674</v>
      </c>
      <c r="H52" s="5">
        <f t="shared" si="18"/>
        <v>105.23560209424085</v>
      </c>
      <c r="I52" s="5">
        <f t="shared" si="18"/>
        <v>101.04712041884817</v>
      </c>
      <c r="J52" s="5">
        <f t="shared" si="18"/>
        <v>99.47643979057591</v>
      </c>
      <c r="K52" s="5">
        <f t="shared" si="18"/>
        <v>103.66492146596858</v>
      </c>
      <c r="L52" s="5">
        <f t="shared" si="18"/>
        <v>104.18848167539265</v>
      </c>
      <c r="M52" s="5">
        <f t="shared" si="18"/>
        <v>104.71204188481674</v>
      </c>
      <c r="N52" s="34">
        <f t="shared" si="18"/>
        <v>103.66492146596858</v>
      </c>
    </row>
    <row r="53" spans="1:14" x14ac:dyDescent="0.2">
      <c r="A53" s="27" t="s">
        <v>71</v>
      </c>
      <c r="B53" s="35">
        <v>100</v>
      </c>
      <c r="C53" s="36">
        <f t="shared" ref="C53:N53" si="19">$B53*C21/$B21</f>
        <v>99.404761904761898</v>
      </c>
      <c r="D53" s="36">
        <f t="shared" si="19"/>
        <v>98.809523809523824</v>
      </c>
      <c r="E53" s="36">
        <f t="shared" si="19"/>
        <v>99.404761904761898</v>
      </c>
      <c r="F53" s="36">
        <f t="shared" si="19"/>
        <v>101.19047619047619</v>
      </c>
      <c r="G53" s="36">
        <f t="shared" si="19"/>
        <v>104.16666666666666</v>
      </c>
      <c r="H53" s="36">
        <f t="shared" si="19"/>
        <v>103.57142857142856</v>
      </c>
      <c r="I53" s="36">
        <f t="shared" si="19"/>
        <v>100.59523809523807</v>
      </c>
      <c r="J53" s="36">
        <f t="shared" si="19"/>
        <v>101.19047619047619</v>
      </c>
      <c r="K53" s="36">
        <f t="shared" si="19"/>
        <v>105.95238095238095</v>
      </c>
      <c r="L53" s="36">
        <f t="shared" si="19"/>
        <v>103.57142857142856</v>
      </c>
      <c r="M53" s="36">
        <f t="shared" si="19"/>
        <v>105.35714285714285</v>
      </c>
      <c r="N53" s="37">
        <f t="shared" si="19"/>
        <v>101.19047619047619</v>
      </c>
    </row>
    <row r="54" spans="1:14" x14ac:dyDescent="0.2">
      <c r="A54" s="22" t="s">
        <v>45</v>
      </c>
      <c r="B54" s="30">
        <v>100</v>
      </c>
      <c r="C54" s="31">
        <f t="shared" ref="C54:N54" si="20">$B54*C22/$B22</f>
        <v>96.808510638297875</v>
      </c>
      <c r="D54" s="31">
        <f t="shared" si="20"/>
        <v>97.340425531914889</v>
      </c>
      <c r="E54" s="31">
        <f t="shared" si="20"/>
        <v>97.340425531914889</v>
      </c>
      <c r="F54" s="31">
        <f t="shared" si="20"/>
        <v>95.744680851063819</v>
      </c>
      <c r="G54" s="31">
        <f t="shared" si="20"/>
        <v>94.680851063829778</v>
      </c>
      <c r="H54" s="31">
        <f t="shared" si="20"/>
        <v>92.55319148936168</v>
      </c>
      <c r="I54" s="31">
        <f t="shared" si="20"/>
        <v>92.021276595744681</v>
      </c>
      <c r="J54" s="31">
        <f t="shared" si="20"/>
        <v>89.361702127659569</v>
      </c>
      <c r="K54" s="31">
        <f t="shared" si="20"/>
        <v>90.957446808510653</v>
      </c>
      <c r="L54" s="31">
        <f t="shared" si="20"/>
        <v>97.872340425531902</v>
      </c>
      <c r="M54" s="31">
        <f t="shared" si="20"/>
        <v>101.59574468085107</v>
      </c>
      <c r="N54" s="32">
        <f t="shared" si="20"/>
        <v>102.6595744680851</v>
      </c>
    </row>
    <row r="55" spans="1:14" x14ac:dyDescent="0.2">
      <c r="A55" s="25" t="s">
        <v>46</v>
      </c>
      <c r="B55" s="33">
        <v>100</v>
      </c>
      <c r="C55" s="5">
        <f t="shared" ref="C55:N55" si="21">$B55*C23/$B23</f>
        <v>98.843930635838163</v>
      </c>
      <c r="D55" s="5">
        <f t="shared" si="21"/>
        <v>97.687861271676283</v>
      </c>
      <c r="E55" s="5">
        <f t="shared" si="21"/>
        <v>97.109826589595372</v>
      </c>
      <c r="F55" s="5">
        <f t="shared" si="21"/>
        <v>95.953757225433534</v>
      </c>
      <c r="G55" s="5">
        <f t="shared" si="21"/>
        <v>97.109826589595372</v>
      </c>
      <c r="H55" s="5">
        <f t="shared" si="21"/>
        <v>95.375722543352595</v>
      </c>
      <c r="I55" s="5">
        <f t="shared" si="21"/>
        <v>93.641618497109818</v>
      </c>
      <c r="J55" s="5">
        <f t="shared" si="21"/>
        <v>90.173410404624278</v>
      </c>
      <c r="K55" s="5">
        <f t="shared" si="21"/>
        <v>97.687861271676283</v>
      </c>
      <c r="L55" s="5">
        <f t="shared" si="21"/>
        <v>104.04624277456647</v>
      </c>
      <c r="M55" s="5">
        <f t="shared" si="21"/>
        <v>102.31213872832369</v>
      </c>
      <c r="N55" s="34">
        <f t="shared" si="21"/>
        <v>103.46820809248553</v>
      </c>
    </row>
    <row r="56" spans="1:14" x14ac:dyDescent="0.2">
      <c r="A56" s="25" t="s">
        <v>47</v>
      </c>
      <c r="B56" s="33">
        <v>100</v>
      </c>
      <c r="C56" s="5">
        <f t="shared" ref="C56:N56" si="22">$B56*C24/$B24</f>
        <v>99.468085106382972</v>
      </c>
      <c r="D56" s="5">
        <f t="shared" si="22"/>
        <v>98.40425531914893</v>
      </c>
      <c r="E56" s="5">
        <f t="shared" si="22"/>
        <v>99.468085106382972</v>
      </c>
      <c r="F56" s="5">
        <f t="shared" si="22"/>
        <v>97.872340425531902</v>
      </c>
      <c r="G56" s="5">
        <f t="shared" si="22"/>
        <v>96.276595744680861</v>
      </c>
      <c r="H56" s="5">
        <f t="shared" si="22"/>
        <v>94.680851063829778</v>
      </c>
      <c r="I56" s="5">
        <f t="shared" si="22"/>
        <v>94.148936170212764</v>
      </c>
      <c r="J56" s="5">
        <f t="shared" si="22"/>
        <v>95.212765957446791</v>
      </c>
      <c r="K56" s="5">
        <f t="shared" si="22"/>
        <v>99.468085106382972</v>
      </c>
      <c r="L56" s="5">
        <f t="shared" si="22"/>
        <v>102.12765957446808</v>
      </c>
      <c r="M56" s="5">
        <f t="shared" si="22"/>
        <v>100</v>
      </c>
      <c r="N56" s="34">
        <f t="shared" si="22"/>
        <v>101.06382978723404</v>
      </c>
    </row>
    <row r="57" spans="1:14" x14ac:dyDescent="0.2">
      <c r="A57" s="25" t="s">
        <v>48</v>
      </c>
      <c r="B57" s="33">
        <v>100</v>
      </c>
      <c r="C57" s="5">
        <f t="shared" ref="C57:N57" si="23">$B57*C25/$B25</f>
        <v>103.20855614973263</v>
      </c>
      <c r="D57" s="5">
        <f t="shared" si="23"/>
        <v>100</v>
      </c>
      <c r="E57" s="5">
        <f t="shared" si="23"/>
        <v>98.395721925133685</v>
      </c>
      <c r="F57" s="5">
        <f t="shared" si="23"/>
        <v>96.791443850267399</v>
      </c>
      <c r="G57" s="5">
        <f t="shared" si="23"/>
        <v>96.791443850267399</v>
      </c>
      <c r="H57" s="5">
        <f t="shared" si="23"/>
        <v>93.582887700534769</v>
      </c>
      <c r="I57" s="5">
        <f t="shared" si="23"/>
        <v>93.582887700534769</v>
      </c>
      <c r="J57" s="5">
        <f t="shared" si="23"/>
        <v>90.909090909090907</v>
      </c>
      <c r="K57" s="5">
        <f t="shared" si="23"/>
        <v>93.582887700534769</v>
      </c>
      <c r="L57" s="5">
        <f t="shared" si="23"/>
        <v>102.1390374331551</v>
      </c>
      <c r="M57" s="5">
        <f t="shared" si="23"/>
        <v>98.930481283422466</v>
      </c>
      <c r="N57" s="34">
        <f t="shared" si="23"/>
        <v>98.930481283422466</v>
      </c>
    </row>
    <row r="58" spans="1:14" x14ac:dyDescent="0.2">
      <c r="A58" s="27" t="s">
        <v>49</v>
      </c>
      <c r="B58" s="35">
        <v>100</v>
      </c>
      <c r="C58" s="36">
        <f t="shared" ref="C58:N58" si="24">$B58*C26/$B26</f>
        <v>98.387096774193537</v>
      </c>
      <c r="D58" s="36">
        <f t="shared" si="24"/>
        <v>98.387096774193537</v>
      </c>
      <c r="E58" s="36">
        <f t="shared" si="24"/>
        <v>96.774193548387089</v>
      </c>
      <c r="F58" s="36">
        <f t="shared" si="24"/>
        <v>95.161290322580641</v>
      </c>
      <c r="G58" s="36">
        <f t="shared" si="24"/>
        <v>96.23655913978493</v>
      </c>
      <c r="H58" s="36">
        <f t="shared" si="24"/>
        <v>93.548387096774178</v>
      </c>
      <c r="I58" s="36">
        <f t="shared" si="24"/>
        <v>93.010752688172033</v>
      </c>
      <c r="J58" s="36">
        <f t="shared" si="24"/>
        <v>93.548387096774178</v>
      </c>
      <c r="K58" s="36">
        <f t="shared" si="24"/>
        <v>101.61290322580643</v>
      </c>
      <c r="L58" s="36">
        <f t="shared" si="24"/>
        <v>101.61290322580643</v>
      </c>
      <c r="M58" s="36">
        <f t="shared" si="24"/>
        <v>100</v>
      </c>
      <c r="N58" s="37">
        <f t="shared" si="24"/>
        <v>100.53763440860214</v>
      </c>
    </row>
    <row r="59" spans="1:14" x14ac:dyDescent="0.2">
      <c r="A59" s="22" t="s">
        <v>50</v>
      </c>
      <c r="B59" s="30">
        <v>100</v>
      </c>
      <c r="C59" s="31">
        <f t="shared" ref="C59:N59" si="25">$B59*C27/$B27</f>
        <v>101.6393442622951</v>
      </c>
      <c r="D59" s="31">
        <f t="shared" si="25"/>
        <v>101.09289617486338</v>
      </c>
      <c r="E59" s="31">
        <f t="shared" si="25"/>
        <v>100</v>
      </c>
      <c r="F59" s="31">
        <f t="shared" si="25"/>
        <v>98.360655737704917</v>
      </c>
      <c r="G59" s="31">
        <f t="shared" si="25"/>
        <v>95.081967213114737</v>
      </c>
      <c r="H59" s="31">
        <f t="shared" si="25"/>
        <v>95.081967213114737</v>
      </c>
      <c r="I59" s="31">
        <f t="shared" si="25"/>
        <v>93.989071038251367</v>
      </c>
      <c r="J59" s="31">
        <f t="shared" si="25"/>
        <v>92.34972677595627</v>
      </c>
      <c r="K59" s="31">
        <f t="shared" si="25"/>
        <v>97.814207650273204</v>
      </c>
      <c r="L59" s="31">
        <f t="shared" si="25"/>
        <v>102.18579234972677</v>
      </c>
      <c r="M59" s="31">
        <f t="shared" si="25"/>
        <v>102.73224043715847</v>
      </c>
      <c r="N59" s="32">
        <f t="shared" si="25"/>
        <v>103.82513661202185</v>
      </c>
    </row>
    <row r="60" spans="1:14" x14ac:dyDescent="0.2">
      <c r="A60" s="25" t="s">
        <v>51</v>
      </c>
      <c r="B60" s="33">
        <v>100</v>
      </c>
      <c r="C60" s="5">
        <f t="shared" ref="C60:N60" si="26">$B60*C28/$B28</f>
        <v>101.89573459715639</v>
      </c>
      <c r="D60" s="5">
        <f t="shared" si="26"/>
        <v>99.526066350710892</v>
      </c>
      <c r="E60" s="5">
        <f t="shared" si="26"/>
        <v>100.47393364928909</v>
      </c>
      <c r="F60" s="5">
        <f t="shared" si="26"/>
        <v>98.578199052132689</v>
      </c>
      <c r="G60" s="5">
        <f t="shared" si="26"/>
        <v>97.630331753554501</v>
      </c>
      <c r="H60" s="5">
        <f t="shared" si="26"/>
        <v>96.208530805687204</v>
      </c>
      <c r="I60" s="5">
        <f t="shared" si="26"/>
        <v>96.208530805687204</v>
      </c>
      <c r="J60" s="5">
        <f t="shared" si="26"/>
        <v>100</v>
      </c>
      <c r="K60" s="5">
        <f t="shared" si="26"/>
        <v>99.526066350710892</v>
      </c>
      <c r="L60" s="5">
        <f t="shared" si="26"/>
        <v>99.052132701421797</v>
      </c>
      <c r="M60" s="5">
        <f t="shared" si="26"/>
        <v>97.156398104265392</v>
      </c>
      <c r="N60" s="34">
        <f t="shared" si="26"/>
        <v>97.156398104265392</v>
      </c>
    </row>
    <row r="61" spans="1:14" x14ac:dyDescent="0.2">
      <c r="A61" s="25" t="s">
        <v>52</v>
      </c>
      <c r="B61" s="33">
        <v>100</v>
      </c>
      <c r="C61" s="5">
        <f t="shared" ref="C61:N61" si="27">$B61*C29/$B29</f>
        <v>100.98039215686275</v>
      </c>
      <c r="D61" s="5">
        <f t="shared" si="27"/>
        <v>99.509803921568633</v>
      </c>
      <c r="E61" s="5">
        <f t="shared" si="27"/>
        <v>99.509803921568633</v>
      </c>
      <c r="F61" s="5">
        <f t="shared" si="27"/>
        <v>97.549019607843135</v>
      </c>
      <c r="G61" s="5">
        <f t="shared" si="27"/>
        <v>97.058823529411768</v>
      </c>
      <c r="H61" s="5">
        <f t="shared" si="27"/>
        <v>96.078431372549034</v>
      </c>
      <c r="I61" s="5">
        <f t="shared" si="27"/>
        <v>96.078431372549034</v>
      </c>
      <c r="J61" s="5">
        <f t="shared" si="27"/>
        <v>93.137254901960787</v>
      </c>
      <c r="K61" s="5">
        <f t="shared" si="27"/>
        <v>98.529411764705898</v>
      </c>
      <c r="L61" s="5">
        <f t="shared" si="27"/>
        <v>100.98039215686275</v>
      </c>
      <c r="M61" s="5">
        <f t="shared" si="27"/>
        <v>102.45098039215686</v>
      </c>
      <c r="N61" s="34">
        <f t="shared" si="27"/>
        <v>99.019607843137265</v>
      </c>
    </row>
    <row r="62" spans="1:14" x14ac:dyDescent="0.2">
      <c r="A62" s="25" t="s">
        <v>53</v>
      </c>
      <c r="B62" s="33">
        <v>100</v>
      </c>
      <c r="C62" s="5">
        <f t="shared" ref="C62:N62" si="28">$B62*C30/$B30</f>
        <v>98.295454545454533</v>
      </c>
      <c r="D62" s="5">
        <f t="shared" si="28"/>
        <v>98.295454545454533</v>
      </c>
      <c r="E62" s="5">
        <f t="shared" si="28"/>
        <v>97.72727272727272</v>
      </c>
      <c r="F62" s="5">
        <f t="shared" si="28"/>
        <v>98.863636363636346</v>
      </c>
      <c r="G62" s="5">
        <f t="shared" si="28"/>
        <v>97.72727272727272</v>
      </c>
      <c r="H62" s="5">
        <f t="shared" si="28"/>
        <v>96.022727272727252</v>
      </c>
      <c r="I62" s="5">
        <f t="shared" si="28"/>
        <v>96.022727272727252</v>
      </c>
      <c r="J62" s="5">
        <f t="shared" si="28"/>
        <v>94.886363636363626</v>
      </c>
      <c r="K62" s="5">
        <f t="shared" si="28"/>
        <v>100</v>
      </c>
      <c r="L62" s="5">
        <f t="shared" si="28"/>
        <v>102.27272727272727</v>
      </c>
      <c r="M62" s="5">
        <f t="shared" si="28"/>
        <v>105.68181818181819</v>
      </c>
      <c r="N62" s="34">
        <f t="shared" si="28"/>
        <v>105.11363636363636</v>
      </c>
    </row>
    <row r="63" spans="1:14" x14ac:dyDescent="0.2">
      <c r="A63" s="27" t="s">
        <v>54</v>
      </c>
      <c r="B63" s="35">
        <v>100</v>
      </c>
      <c r="C63" s="36">
        <f t="shared" ref="C63:N63" si="29">$B63*C31/$B31</f>
        <v>97.905759162303653</v>
      </c>
      <c r="D63" s="36">
        <f t="shared" si="29"/>
        <v>96.335078534031396</v>
      </c>
      <c r="E63" s="36">
        <f t="shared" si="29"/>
        <v>97.382198952879591</v>
      </c>
      <c r="F63" s="36">
        <f t="shared" si="29"/>
        <v>97.382198952879591</v>
      </c>
      <c r="G63" s="36">
        <f t="shared" si="29"/>
        <v>94.240837696335078</v>
      </c>
      <c r="H63" s="36">
        <f t="shared" si="29"/>
        <v>92.146596858638745</v>
      </c>
      <c r="I63" s="36">
        <f t="shared" si="29"/>
        <v>92.146596858638745</v>
      </c>
      <c r="J63" s="36">
        <f t="shared" si="29"/>
        <v>89.528795811518336</v>
      </c>
      <c r="K63" s="36">
        <f t="shared" si="29"/>
        <v>94.240837696335078</v>
      </c>
      <c r="L63" s="36">
        <f t="shared" si="29"/>
        <v>100</v>
      </c>
      <c r="M63" s="36">
        <f t="shared" si="29"/>
        <v>102.09424083769633</v>
      </c>
      <c r="N63" s="37">
        <f t="shared" si="29"/>
        <v>105.23560209424085</v>
      </c>
    </row>
    <row r="65" spans="1:31" x14ac:dyDescent="0.2">
      <c r="B65" s="51" t="s">
        <v>93</v>
      </c>
      <c r="C65" s="51"/>
      <c r="D65" s="51"/>
      <c r="E65" s="51"/>
      <c r="F65" s="51"/>
      <c r="G65" s="51" t="s">
        <v>94</v>
      </c>
      <c r="H65" s="51"/>
      <c r="I65" s="51"/>
      <c r="J65" s="51"/>
      <c r="K65" s="51"/>
      <c r="L65" s="51" t="s">
        <v>95</v>
      </c>
      <c r="M65" s="51"/>
      <c r="N65" s="51"/>
      <c r="O65" s="51"/>
      <c r="P65" s="51"/>
      <c r="Q65" s="51" t="s">
        <v>96</v>
      </c>
      <c r="R65" s="51"/>
      <c r="S65" s="51"/>
      <c r="T65" s="51"/>
      <c r="U65" s="51"/>
      <c r="V65" s="51" t="s">
        <v>97</v>
      </c>
      <c r="W65" s="51"/>
      <c r="X65" s="51"/>
      <c r="Y65" s="51"/>
      <c r="Z65" s="51"/>
      <c r="AA65" s="51" t="s">
        <v>98</v>
      </c>
      <c r="AB65" s="51"/>
      <c r="AC65" s="51"/>
      <c r="AD65" s="51"/>
      <c r="AE65" s="51"/>
    </row>
    <row r="66" spans="1:31" x14ac:dyDescent="0.2">
      <c r="A66" s="21" t="s">
        <v>28</v>
      </c>
      <c r="B66" s="38">
        <v>100</v>
      </c>
      <c r="C66" s="39">
        <v>100</v>
      </c>
      <c r="D66" s="39">
        <v>100</v>
      </c>
      <c r="E66" s="39">
        <v>100</v>
      </c>
      <c r="F66" s="24">
        <v>100</v>
      </c>
      <c r="G66" s="38">
        <v>100</v>
      </c>
      <c r="H66" s="39">
        <v>100</v>
      </c>
      <c r="I66" s="39">
        <v>100</v>
      </c>
      <c r="J66" s="39">
        <v>100</v>
      </c>
      <c r="K66" s="24">
        <v>100</v>
      </c>
      <c r="L66" s="38">
        <v>100</v>
      </c>
      <c r="M66" s="39">
        <v>100</v>
      </c>
      <c r="N66" s="39">
        <v>100</v>
      </c>
      <c r="O66" s="39">
        <v>100</v>
      </c>
      <c r="P66" s="24">
        <v>100</v>
      </c>
      <c r="Q66" s="38">
        <v>100</v>
      </c>
      <c r="R66" s="39">
        <v>100</v>
      </c>
      <c r="S66" s="39">
        <v>100</v>
      </c>
      <c r="T66" s="39">
        <v>100</v>
      </c>
      <c r="U66" s="24">
        <v>100</v>
      </c>
      <c r="V66" s="38">
        <v>100</v>
      </c>
      <c r="W66" s="39">
        <v>100</v>
      </c>
      <c r="X66" s="39">
        <v>100</v>
      </c>
      <c r="Y66" s="39">
        <v>100</v>
      </c>
      <c r="Z66" s="24">
        <v>100</v>
      </c>
      <c r="AA66" s="38">
        <v>100</v>
      </c>
      <c r="AB66" s="39">
        <v>100</v>
      </c>
      <c r="AC66" s="39">
        <v>100</v>
      </c>
      <c r="AD66" s="39">
        <v>100</v>
      </c>
      <c r="AE66" s="24">
        <v>100</v>
      </c>
    </row>
    <row r="67" spans="1:31" x14ac:dyDescent="0.2">
      <c r="A67" s="21" t="s">
        <v>29</v>
      </c>
      <c r="B67" s="40">
        <v>100.58479532163742</v>
      </c>
      <c r="C67">
        <v>96.174863387978149</v>
      </c>
      <c r="D67">
        <v>101.64835164835165</v>
      </c>
      <c r="E67">
        <v>99.447513812154682</v>
      </c>
      <c r="F67" s="26">
        <v>99.390243902439039</v>
      </c>
      <c r="G67" s="40">
        <v>101.16279069767441</v>
      </c>
      <c r="H67">
        <v>100.57471264367817</v>
      </c>
      <c r="I67">
        <v>100</v>
      </c>
      <c r="J67">
        <v>98.857142857142861</v>
      </c>
      <c r="K67" s="26">
        <v>99.421965317919074</v>
      </c>
      <c r="L67" s="40">
        <v>98.101265822784811</v>
      </c>
      <c r="M67">
        <v>100.64102564102565</v>
      </c>
      <c r="N67">
        <v>99.519230769230759</v>
      </c>
      <c r="O67">
        <v>97.126436781609186</v>
      </c>
      <c r="P67" s="26">
        <v>98.122065727699521</v>
      </c>
      <c r="Q67" s="40">
        <v>97.282608695652172</v>
      </c>
      <c r="R67">
        <v>100.57471264367817</v>
      </c>
      <c r="S67">
        <v>97.80219780219781</v>
      </c>
      <c r="T67">
        <v>100.52356020942408</v>
      </c>
      <c r="U67" s="26">
        <v>99.404761904761898</v>
      </c>
      <c r="V67" s="40">
        <v>96.808510638297875</v>
      </c>
      <c r="W67">
        <v>98.843930635838163</v>
      </c>
      <c r="X67">
        <v>99.468085106382972</v>
      </c>
      <c r="Y67">
        <v>103.20855614973263</v>
      </c>
      <c r="Z67" s="26">
        <v>98.387096774193537</v>
      </c>
      <c r="AA67" s="40">
        <v>101.6393442622951</v>
      </c>
      <c r="AB67">
        <v>101.89573459715639</v>
      </c>
      <c r="AC67">
        <v>100.98039215686275</v>
      </c>
      <c r="AD67">
        <v>98.295454545454533</v>
      </c>
      <c r="AE67" s="26">
        <v>97.905759162303653</v>
      </c>
    </row>
    <row r="68" spans="1:31" x14ac:dyDescent="0.2">
      <c r="A68" s="21" t="s">
        <v>30</v>
      </c>
      <c r="B68" s="40">
        <v>100.58479532163742</v>
      </c>
      <c r="C68">
        <v>96.721311475409834</v>
      </c>
      <c r="D68">
        <v>100.54945054945055</v>
      </c>
      <c r="E68">
        <v>100</v>
      </c>
      <c r="F68" s="26">
        <v>100</v>
      </c>
      <c r="G68" s="40">
        <v>99.418604651162809</v>
      </c>
      <c r="H68">
        <v>97.126436781609186</v>
      </c>
      <c r="I68">
        <v>100.55555555555557</v>
      </c>
      <c r="J68">
        <v>99.428571428571416</v>
      </c>
      <c r="K68" s="26">
        <v>100</v>
      </c>
      <c r="L68" s="40">
        <v>102.53164556962025</v>
      </c>
      <c r="M68">
        <v>101.28205128205128</v>
      </c>
      <c r="N68">
        <v>100.48076923076923</v>
      </c>
      <c r="O68">
        <v>98.275862068965537</v>
      </c>
      <c r="P68" s="26">
        <v>96.713615023474176</v>
      </c>
      <c r="Q68" s="40">
        <v>96.195652173913047</v>
      </c>
      <c r="R68">
        <v>99.425287356321846</v>
      </c>
      <c r="S68">
        <v>98.351648351648336</v>
      </c>
      <c r="T68">
        <v>98.952879581151819</v>
      </c>
      <c r="U68" s="26">
        <v>98.809523809523824</v>
      </c>
      <c r="V68" s="40">
        <v>97.340425531914889</v>
      </c>
      <c r="W68">
        <v>97.687861271676283</v>
      </c>
      <c r="X68">
        <v>98.40425531914893</v>
      </c>
      <c r="Y68">
        <v>100</v>
      </c>
      <c r="Z68" s="26">
        <v>98.387096774193537</v>
      </c>
      <c r="AA68" s="40">
        <v>101.09289617486338</v>
      </c>
      <c r="AB68">
        <v>99.526066350710892</v>
      </c>
      <c r="AC68">
        <v>99.509803921568633</v>
      </c>
      <c r="AD68">
        <v>98.295454545454533</v>
      </c>
      <c r="AE68" s="26">
        <v>96.335078534031396</v>
      </c>
    </row>
    <row r="69" spans="1:31" x14ac:dyDescent="0.2">
      <c r="A69" s="21" t="s">
        <v>31</v>
      </c>
      <c r="B69" s="40">
        <v>102.92397660818713</v>
      </c>
      <c r="C69">
        <v>98.360655737704917</v>
      </c>
      <c r="D69">
        <v>101.64835164835165</v>
      </c>
      <c r="E69">
        <v>100</v>
      </c>
      <c r="F69" s="26">
        <v>101.21951219512198</v>
      </c>
      <c r="G69" s="40">
        <v>101.16279069767441</v>
      </c>
      <c r="H69">
        <v>100</v>
      </c>
      <c r="I69">
        <v>102.77777777777777</v>
      </c>
      <c r="J69">
        <v>103.42857142857144</v>
      </c>
      <c r="K69" s="26">
        <v>101.73410404624278</v>
      </c>
      <c r="L69" s="40">
        <v>106.96202531645568</v>
      </c>
      <c r="M69">
        <v>101.28205128205128</v>
      </c>
      <c r="N69">
        <v>100</v>
      </c>
      <c r="O69">
        <v>98.275862068965537</v>
      </c>
      <c r="P69" s="26">
        <v>98.591549295774641</v>
      </c>
      <c r="Q69" s="40">
        <v>97.282608695652172</v>
      </c>
      <c r="R69">
        <v>97.701149425287369</v>
      </c>
      <c r="S69">
        <v>97.80219780219781</v>
      </c>
      <c r="T69">
        <v>98.429319371727743</v>
      </c>
      <c r="U69" s="26">
        <v>99.404761904761898</v>
      </c>
      <c r="V69" s="40">
        <v>97.340425531914889</v>
      </c>
      <c r="W69">
        <v>97.109826589595372</v>
      </c>
      <c r="X69">
        <v>99.468085106382972</v>
      </c>
      <c r="Y69">
        <v>98.395721925133685</v>
      </c>
      <c r="Z69" s="26">
        <v>96.774193548387089</v>
      </c>
      <c r="AA69" s="40">
        <v>100</v>
      </c>
      <c r="AB69">
        <v>100.47393364928909</v>
      </c>
      <c r="AC69">
        <v>99.509803921568633</v>
      </c>
      <c r="AD69">
        <v>97.72727272727272</v>
      </c>
      <c r="AE69" s="26">
        <v>97.382198952879591</v>
      </c>
    </row>
    <row r="70" spans="1:31" x14ac:dyDescent="0.2">
      <c r="A70" s="21" t="s">
        <v>32</v>
      </c>
      <c r="B70" s="40">
        <v>101.75438596491226</v>
      </c>
      <c r="C70">
        <v>97.814207650273204</v>
      </c>
      <c r="D70">
        <v>100</v>
      </c>
      <c r="E70">
        <v>103.86740331491711</v>
      </c>
      <c r="F70" s="26">
        <v>101.82926829268294</v>
      </c>
      <c r="G70" s="40">
        <v>100</v>
      </c>
      <c r="H70">
        <v>101.14942528735634</v>
      </c>
      <c r="I70">
        <v>101.11111111111111</v>
      </c>
      <c r="J70">
        <v>101.71428571428571</v>
      </c>
      <c r="K70" s="26">
        <v>102.31213872832369</v>
      </c>
      <c r="L70" s="40">
        <v>105.69620253164557</v>
      </c>
      <c r="M70">
        <v>102.56410256410257</v>
      </c>
      <c r="N70">
        <v>100.96153846153845</v>
      </c>
      <c r="O70">
        <v>99.425287356321846</v>
      </c>
      <c r="P70" s="26">
        <v>96.713615023474176</v>
      </c>
      <c r="Q70" s="40">
        <v>96.195652173913047</v>
      </c>
      <c r="R70">
        <v>97.126436781609186</v>
      </c>
      <c r="S70">
        <v>100</v>
      </c>
      <c r="T70">
        <v>102.09424083769633</v>
      </c>
      <c r="U70" s="26">
        <v>101.19047619047619</v>
      </c>
      <c r="V70" s="40">
        <v>95.744680851063819</v>
      </c>
      <c r="W70">
        <v>95.953757225433534</v>
      </c>
      <c r="X70">
        <v>97.872340425531902</v>
      </c>
      <c r="Y70">
        <v>96.791443850267399</v>
      </c>
      <c r="Z70" s="26">
        <v>95.161290322580641</v>
      </c>
      <c r="AA70" s="40">
        <v>98.360655737704917</v>
      </c>
      <c r="AB70">
        <v>98.578199052132689</v>
      </c>
      <c r="AC70">
        <v>97.549019607843135</v>
      </c>
      <c r="AD70">
        <v>98.863636363636346</v>
      </c>
      <c r="AE70" s="26">
        <v>97.382198952879591</v>
      </c>
    </row>
    <row r="71" spans="1:31" x14ac:dyDescent="0.2">
      <c r="A71" s="21" t="s">
        <v>33</v>
      </c>
      <c r="B71" s="40">
        <v>102.3391812865497</v>
      </c>
      <c r="C71">
        <v>98.907103825136616</v>
      </c>
      <c r="D71">
        <v>99.450549450549474</v>
      </c>
      <c r="E71">
        <v>102.2099447513812</v>
      </c>
      <c r="F71" s="26">
        <v>101.82926829268294</v>
      </c>
      <c r="G71" s="40">
        <v>102.90697674418605</v>
      </c>
      <c r="H71">
        <v>104.02298850574715</v>
      </c>
      <c r="I71">
        <v>102.22222222222221</v>
      </c>
      <c r="J71">
        <v>102.85714285714286</v>
      </c>
      <c r="K71" s="26">
        <v>102.31213872832369</v>
      </c>
      <c r="L71" s="40">
        <v>106.32911392405063</v>
      </c>
      <c r="M71">
        <v>104.48717948717949</v>
      </c>
      <c r="N71">
        <v>101.92307692307692</v>
      </c>
      <c r="O71">
        <v>100.57471264367817</v>
      </c>
      <c r="P71" s="26">
        <v>99.53051643192488</v>
      </c>
      <c r="Q71" s="40">
        <v>98.369565217391326</v>
      </c>
      <c r="R71">
        <v>99.425287356321846</v>
      </c>
      <c r="S71">
        <v>101.64835164835165</v>
      </c>
      <c r="T71">
        <v>104.71204188481674</v>
      </c>
      <c r="U71" s="26">
        <v>104.16666666666666</v>
      </c>
      <c r="V71" s="40">
        <v>94.680851063829778</v>
      </c>
      <c r="W71">
        <v>97.109826589595372</v>
      </c>
      <c r="X71">
        <v>96.276595744680861</v>
      </c>
      <c r="Y71">
        <v>96.791443850267399</v>
      </c>
      <c r="Z71" s="26">
        <v>96.23655913978493</v>
      </c>
      <c r="AA71" s="40">
        <v>95.081967213114737</v>
      </c>
      <c r="AB71">
        <v>97.630331753554501</v>
      </c>
      <c r="AC71">
        <v>97.058823529411768</v>
      </c>
      <c r="AD71">
        <v>97.72727272727272</v>
      </c>
      <c r="AE71" s="26">
        <v>94.240837696335078</v>
      </c>
    </row>
    <row r="72" spans="1:31" x14ac:dyDescent="0.2">
      <c r="A72" s="21" t="s">
        <v>34</v>
      </c>
      <c r="B72" s="40">
        <v>100</v>
      </c>
      <c r="C72">
        <v>98.360655737704917</v>
      </c>
      <c r="D72">
        <v>98.901098901098905</v>
      </c>
      <c r="E72">
        <v>100</v>
      </c>
      <c r="F72" s="26">
        <v>101.82926829268294</v>
      </c>
      <c r="G72" s="40">
        <v>101.74418604651163</v>
      </c>
      <c r="H72">
        <v>102.8735632183908</v>
      </c>
      <c r="I72">
        <v>100</v>
      </c>
      <c r="J72">
        <v>102.85714285714286</v>
      </c>
      <c r="K72" s="26">
        <v>102.31213872832369</v>
      </c>
      <c r="L72" s="40">
        <v>104.43037974683544</v>
      </c>
      <c r="M72">
        <v>101.28205128205128</v>
      </c>
      <c r="N72">
        <v>100.96153846153845</v>
      </c>
      <c r="O72">
        <v>100</v>
      </c>
      <c r="P72" s="26">
        <v>100.93896713615023</v>
      </c>
      <c r="Q72" s="40">
        <v>98.369565217391326</v>
      </c>
      <c r="R72">
        <v>102.29885057471265</v>
      </c>
      <c r="S72">
        <v>102.19780219780222</v>
      </c>
      <c r="T72">
        <v>105.23560209424085</v>
      </c>
      <c r="U72" s="26">
        <v>103.57142857142856</v>
      </c>
      <c r="V72" s="40">
        <v>92.55319148936168</v>
      </c>
      <c r="W72">
        <v>95.375722543352595</v>
      </c>
      <c r="X72">
        <v>94.680851063829778</v>
      </c>
      <c r="Y72">
        <v>93.582887700534769</v>
      </c>
      <c r="Z72" s="26">
        <v>93.548387096774178</v>
      </c>
      <c r="AA72" s="40">
        <v>95.081967213114737</v>
      </c>
      <c r="AB72">
        <v>96.208530805687204</v>
      </c>
      <c r="AC72">
        <v>96.078431372549034</v>
      </c>
      <c r="AD72">
        <v>96.022727272727252</v>
      </c>
      <c r="AE72" s="26">
        <v>92.146596858638745</v>
      </c>
    </row>
    <row r="73" spans="1:31" x14ac:dyDescent="0.2">
      <c r="A73" s="21" t="s">
        <v>35</v>
      </c>
      <c r="B73" s="41">
        <v>98.830409356725127</v>
      </c>
      <c r="C73" s="42">
        <v>97.267759562841533</v>
      </c>
      <c r="D73" s="42">
        <v>100</v>
      </c>
      <c r="E73" s="42">
        <v>98.342541436464074</v>
      </c>
      <c r="F73" s="29">
        <v>100.60975609756099</v>
      </c>
      <c r="G73" s="41">
        <v>102.32558139534885</v>
      </c>
      <c r="H73" s="42">
        <v>101.14942528735634</v>
      </c>
      <c r="I73" s="42">
        <v>98.333333333333329</v>
      </c>
      <c r="J73" s="42">
        <v>102.28571428571428</v>
      </c>
      <c r="K73" s="29">
        <v>101.15606936416185</v>
      </c>
      <c r="L73" s="41">
        <v>104.43037974683544</v>
      </c>
      <c r="M73" s="42">
        <v>100.64102564102565</v>
      </c>
      <c r="N73" s="42">
        <v>100.48076923076923</v>
      </c>
      <c r="O73" s="42">
        <v>98.850574712643692</v>
      </c>
      <c r="P73" s="29">
        <v>100.93896713615023</v>
      </c>
      <c r="Q73" s="41">
        <v>96.739130434782609</v>
      </c>
      <c r="R73" s="42">
        <v>100.57471264367817</v>
      </c>
      <c r="S73" s="42">
        <v>101.64835164835165</v>
      </c>
      <c r="T73" s="42">
        <v>101.04712041884817</v>
      </c>
      <c r="U73" s="29">
        <v>100.59523809523807</v>
      </c>
      <c r="V73" s="41">
        <v>92.021276595744681</v>
      </c>
      <c r="W73" s="42">
        <v>93.641618497109818</v>
      </c>
      <c r="X73" s="42">
        <v>94.148936170212764</v>
      </c>
      <c r="Y73" s="42">
        <v>93.582887700534769</v>
      </c>
      <c r="Z73" s="29">
        <v>93.010752688172033</v>
      </c>
      <c r="AA73" s="41">
        <v>93.989071038251367</v>
      </c>
      <c r="AB73" s="42">
        <v>96.208530805687204</v>
      </c>
      <c r="AC73" s="42">
        <v>96.078431372549034</v>
      </c>
      <c r="AD73" s="42">
        <v>96.022727272727252</v>
      </c>
      <c r="AE73" s="29">
        <v>92.146596858638745</v>
      </c>
    </row>
    <row r="74" spans="1:31" x14ac:dyDescent="0.2">
      <c r="A74" s="21" t="s">
        <v>36</v>
      </c>
      <c r="B74">
        <v>100.58479532163742</v>
      </c>
      <c r="C74">
        <v>98.360655737704917</v>
      </c>
      <c r="D74">
        <v>99.450549450549474</v>
      </c>
      <c r="E74">
        <v>100</v>
      </c>
      <c r="F74">
        <v>97.560975609756099</v>
      </c>
      <c r="G74">
        <v>102.32558139534885</v>
      </c>
      <c r="H74">
        <v>98.850574712643692</v>
      </c>
      <c r="I74">
        <v>97.777777777777786</v>
      </c>
      <c r="J74">
        <v>101.14285714285714</v>
      </c>
      <c r="K74">
        <v>98.265895953757223</v>
      </c>
      <c r="L74">
        <v>101.8987341772152</v>
      </c>
      <c r="M74">
        <v>98.717948717948715</v>
      </c>
      <c r="N74">
        <v>97.59615384615384</v>
      </c>
      <c r="O74">
        <v>98.275862068965537</v>
      </c>
      <c r="P74">
        <v>96.713615023474176</v>
      </c>
      <c r="Q74">
        <v>95.108695652173921</v>
      </c>
      <c r="R74">
        <v>100</v>
      </c>
      <c r="S74">
        <v>99.450549450549474</v>
      </c>
      <c r="T74">
        <v>99.47643979057591</v>
      </c>
      <c r="U74">
        <v>101.19047619047619</v>
      </c>
      <c r="V74">
        <v>89.361702127659569</v>
      </c>
      <c r="W74">
        <v>90.173410404624278</v>
      </c>
      <c r="X74">
        <v>95.212765957446791</v>
      </c>
      <c r="Y74">
        <v>90.909090909090907</v>
      </c>
      <c r="Z74">
        <v>93.548387096774178</v>
      </c>
      <c r="AA74">
        <v>92.34972677595627</v>
      </c>
      <c r="AB74">
        <v>100</v>
      </c>
      <c r="AC74">
        <v>93.137254901960787</v>
      </c>
      <c r="AD74">
        <v>94.886363636363626</v>
      </c>
      <c r="AE74">
        <v>89.528795811518336</v>
      </c>
    </row>
    <row r="75" spans="1:31" x14ac:dyDescent="0.2">
      <c r="A75" s="21" t="s">
        <v>37</v>
      </c>
      <c r="B75">
        <v>104.67836257309939</v>
      </c>
      <c r="C75">
        <v>98.907103825136616</v>
      </c>
      <c r="D75">
        <v>101.64835164835165</v>
      </c>
      <c r="E75">
        <v>104.41988950276242</v>
      </c>
      <c r="F75">
        <v>97.560975609756099</v>
      </c>
      <c r="G75">
        <v>104.65116279069768</v>
      </c>
      <c r="H75">
        <v>101.72413793103449</v>
      </c>
      <c r="I75">
        <v>101.66666666666667</v>
      </c>
      <c r="J75">
        <v>104</v>
      </c>
      <c r="K75">
        <v>102.31213872832369</v>
      </c>
      <c r="L75">
        <v>119.62025316455694</v>
      </c>
      <c r="M75">
        <v>116.02564102564104</v>
      </c>
      <c r="N75">
        <v>88.461538461538453</v>
      </c>
      <c r="O75">
        <v>105.7471264367816</v>
      </c>
      <c r="P75">
        <v>83.568075117370896</v>
      </c>
      <c r="Q75">
        <v>104.34782608695653</v>
      </c>
      <c r="R75">
        <v>100.57471264367817</v>
      </c>
      <c r="S75">
        <v>106.59340659340658</v>
      </c>
      <c r="T75">
        <v>103.66492146596858</v>
      </c>
      <c r="U75">
        <v>105.95238095238095</v>
      </c>
      <c r="V75">
        <v>90.957446808510653</v>
      </c>
      <c r="W75">
        <v>97.687861271676283</v>
      </c>
      <c r="X75">
        <v>99.468085106382972</v>
      </c>
      <c r="Y75">
        <v>93.582887700534769</v>
      </c>
      <c r="Z75">
        <v>101.61290322580643</v>
      </c>
      <c r="AA75">
        <v>97.814207650273204</v>
      </c>
      <c r="AB75">
        <v>99.526066350710892</v>
      </c>
      <c r="AC75">
        <v>98.529411764705898</v>
      </c>
      <c r="AD75">
        <v>100</v>
      </c>
      <c r="AE75">
        <v>94.240837696335078</v>
      </c>
    </row>
    <row r="76" spans="1:31" x14ac:dyDescent="0.2">
      <c r="A76" s="21" t="s">
        <v>38</v>
      </c>
      <c r="B76">
        <v>102.92397660818713</v>
      </c>
      <c r="C76">
        <v>100.54644808743167</v>
      </c>
      <c r="D76">
        <v>101.09890109890109</v>
      </c>
      <c r="E76">
        <v>101.10497237569059</v>
      </c>
      <c r="F76">
        <v>102.43902439024392</v>
      </c>
      <c r="G76">
        <v>109.88372093023256</v>
      </c>
      <c r="H76">
        <v>104.02298850574715</v>
      </c>
      <c r="I76">
        <v>102.22222222222221</v>
      </c>
      <c r="J76">
        <v>105.14285714285712</v>
      </c>
      <c r="K76">
        <v>102.89017341040461</v>
      </c>
      <c r="L76">
        <v>108.22784810126583</v>
      </c>
      <c r="M76">
        <v>103.84615384615385</v>
      </c>
      <c r="N76">
        <v>99.038461538461533</v>
      </c>
      <c r="O76">
        <v>106.32183908045978</v>
      </c>
      <c r="P76">
        <v>103.28638497652582</v>
      </c>
      <c r="Q76">
        <v>101.08695652173915</v>
      </c>
      <c r="R76">
        <v>104.02298850574715</v>
      </c>
      <c r="S76">
        <v>102.74725274725274</v>
      </c>
      <c r="T76">
        <v>104.18848167539265</v>
      </c>
      <c r="U76">
        <v>103.57142857142856</v>
      </c>
      <c r="V76">
        <v>97.872340425531902</v>
      </c>
      <c r="W76">
        <v>104.04624277456647</v>
      </c>
      <c r="X76">
        <v>102.12765957446808</v>
      </c>
      <c r="Y76">
        <v>102.1390374331551</v>
      </c>
      <c r="Z76">
        <v>101.61290322580643</v>
      </c>
      <c r="AA76">
        <v>102.18579234972677</v>
      </c>
      <c r="AB76">
        <v>99.052132701421797</v>
      </c>
      <c r="AC76">
        <v>100.98039215686275</v>
      </c>
      <c r="AD76">
        <v>102.27272727272727</v>
      </c>
      <c r="AE76">
        <v>100</v>
      </c>
    </row>
    <row r="77" spans="1:31" x14ac:dyDescent="0.2">
      <c r="A77" s="21" t="s">
        <v>55</v>
      </c>
      <c r="B77">
        <v>108.77192982456141</v>
      </c>
      <c r="C77">
        <v>100</v>
      </c>
      <c r="D77">
        <v>102.74725274725274</v>
      </c>
      <c r="E77">
        <v>104.41988950276242</v>
      </c>
      <c r="F77">
        <v>101.82926829268294</v>
      </c>
      <c r="G77">
        <v>109.30232558139535</v>
      </c>
      <c r="H77">
        <v>107.4712643678161</v>
      </c>
      <c r="I77">
        <v>103.88888888888889</v>
      </c>
      <c r="J77">
        <v>106.85714285714286</v>
      </c>
      <c r="K77">
        <v>102.89017341040461</v>
      </c>
      <c r="L77">
        <v>105.69620253164557</v>
      </c>
      <c r="M77">
        <v>105.12820512820511</v>
      </c>
      <c r="N77">
        <v>100.48076923076923</v>
      </c>
      <c r="O77">
        <v>102.29885057471265</v>
      </c>
      <c r="P77">
        <v>101.40845070422534</v>
      </c>
      <c r="Q77">
        <v>100.54347826086958</v>
      </c>
      <c r="R77">
        <v>102.29885057471265</v>
      </c>
      <c r="S77">
        <v>106.04395604395604</v>
      </c>
      <c r="T77">
        <v>104.71204188481674</v>
      </c>
      <c r="U77">
        <v>105.35714285714285</v>
      </c>
      <c r="V77">
        <v>101.59574468085107</v>
      </c>
      <c r="W77">
        <v>102.31213872832369</v>
      </c>
      <c r="X77">
        <v>100</v>
      </c>
      <c r="Y77">
        <v>98.930481283422466</v>
      </c>
      <c r="Z77">
        <v>100</v>
      </c>
      <c r="AA77">
        <v>102.73224043715847</v>
      </c>
      <c r="AB77">
        <v>97.156398104265392</v>
      </c>
      <c r="AC77">
        <v>102.45098039215686</v>
      </c>
      <c r="AD77">
        <v>105.68181818181819</v>
      </c>
      <c r="AE77">
        <v>102.09424083769633</v>
      </c>
    </row>
    <row r="78" spans="1:31" x14ac:dyDescent="0.2">
      <c r="A78" s="21" t="s">
        <v>39</v>
      </c>
      <c r="B78">
        <v>105.84795321637428</v>
      </c>
      <c r="C78">
        <v>101.6393442622951</v>
      </c>
      <c r="D78">
        <v>101.64835164835165</v>
      </c>
      <c r="E78">
        <v>101.6574585635359</v>
      </c>
      <c r="F78">
        <v>104.26829268292686</v>
      </c>
      <c r="G78">
        <v>112.7906976744186</v>
      </c>
      <c r="H78">
        <v>108.62068965517241</v>
      </c>
      <c r="I78">
        <v>103.33333333333334</v>
      </c>
      <c r="J78">
        <v>105.14285714285712</v>
      </c>
      <c r="K78">
        <v>105.20231213872832</v>
      </c>
      <c r="L78">
        <v>105.06329113924052</v>
      </c>
      <c r="M78">
        <v>105.76923076923077</v>
      </c>
      <c r="N78">
        <v>105.76923076923076</v>
      </c>
      <c r="O78">
        <v>105.17241379310346</v>
      </c>
      <c r="P78">
        <v>102.34741784037558</v>
      </c>
      <c r="Q78">
        <v>104.34782608695653</v>
      </c>
      <c r="R78">
        <v>102.29885057471265</v>
      </c>
      <c r="S78">
        <v>103.2967032967033</v>
      </c>
      <c r="T78">
        <v>103.66492146596858</v>
      </c>
      <c r="U78">
        <v>101.19047619047619</v>
      </c>
      <c r="V78">
        <v>102.6595744680851</v>
      </c>
      <c r="W78">
        <v>103.46820809248553</v>
      </c>
      <c r="X78">
        <v>101.06382978723404</v>
      </c>
      <c r="Y78">
        <v>98.930481283422466</v>
      </c>
      <c r="Z78">
        <v>100.53763440860214</v>
      </c>
      <c r="AA78">
        <v>103.82513661202185</v>
      </c>
      <c r="AB78">
        <v>97.156398104265392</v>
      </c>
      <c r="AC78">
        <v>99.019607843137265</v>
      </c>
      <c r="AD78">
        <v>105.11363636363636</v>
      </c>
      <c r="AE78">
        <v>105.23560209424085</v>
      </c>
    </row>
  </sheetData>
  <mergeCells count="6">
    <mergeCell ref="AA65:AE65"/>
    <mergeCell ref="B65:F65"/>
    <mergeCell ref="G65:K65"/>
    <mergeCell ref="L65:P65"/>
    <mergeCell ref="Q65:U65"/>
    <mergeCell ref="V65:Z6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inoc</vt:lpstr>
      <vt:lpstr>indiv carriage</vt:lpstr>
      <vt:lpstr>weight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2025-01-27T21:32:11Z</dcterms:modified>
</cp:coreProperties>
</file>