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rine/Documents/DGP/Hauser lab/Results/2023/Mouse GI carriage/"/>
    </mc:Choice>
  </mc:AlternateContent>
  <xr:revisionPtr revIDLastSave="0" documentId="13_ncr:1_{76FC21DA-DF4D-FC46-AF7F-F87FA730F29C}" xr6:coauthVersionLast="47" xr6:coauthVersionMax="47" xr10:uidLastSave="{00000000-0000-0000-0000-000000000000}"/>
  <bookViews>
    <workbookView xWindow="10660" yWindow="940" windowWidth="14220" windowHeight="17500" activeTab="2" xr2:uid="{05D28018-5EC7-B748-ACA7-09DD0AD3B70C}"/>
  </bookViews>
  <sheets>
    <sheet name="indiv doses" sheetId="8" r:id="rId1"/>
    <sheet name="indiv carriage" sheetId="5" r:id="rId2"/>
    <sheet name="48 12LacZ" sheetId="6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49" i="6" l="1"/>
  <c r="F48" i="6"/>
  <c r="F47" i="6"/>
  <c r="F46" i="6"/>
  <c r="F45" i="6"/>
  <c r="F42" i="6"/>
  <c r="F41" i="6"/>
  <c r="F40" i="6"/>
  <c r="F39" i="6"/>
  <c r="F38" i="6"/>
  <c r="F35" i="6"/>
  <c r="F34" i="6"/>
  <c r="F33" i="6"/>
  <c r="F32" i="6"/>
  <c r="F31" i="6"/>
  <c r="F28" i="6"/>
  <c r="F27" i="6"/>
  <c r="F26" i="6"/>
  <c r="F25" i="6"/>
  <c r="F24" i="6"/>
  <c r="F21" i="6"/>
  <c r="F20" i="6"/>
  <c r="F19" i="6"/>
  <c r="J18" i="6"/>
  <c r="F18" i="6"/>
  <c r="F17" i="6"/>
  <c r="F104" i="5"/>
  <c r="F103" i="5"/>
  <c r="F102" i="5"/>
  <c r="F101" i="5"/>
  <c r="F100" i="5"/>
  <c r="F97" i="5"/>
  <c r="F96" i="5"/>
  <c r="F95" i="5"/>
  <c r="F93" i="5"/>
  <c r="F90" i="5"/>
  <c r="F89" i="5"/>
  <c r="F88" i="5"/>
  <c r="F87" i="5"/>
  <c r="F86" i="5"/>
  <c r="F83" i="5"/>
  <c r="F82" i="5"/>
  <c r="F81" i="5"/>
  <c r="F80" i="5"/>
  <c r="F79" i="5"/>
  <c r="F76" i="5"/>
  <c r="F75" i="5"/>
  <c r="F74" i="5"/>
  <c r="F73" i="5"/>
  <c r="F72" i="5"/>
  <c r="F69" i="5"/>
  <c r="F62" i="5"/>
  <c r="F54" i="5"/>
  <c r="F55" i="5"/>
  <c r="F48" i="5"/>
  <c r="F41" i="5"/>
  <c r="F34" i="5"/>
  <c r="F27" i="5"/>
  <c r="F20" i="5"/>
  <c r="F13" i="5"/>
  <c r="F6" i="5"/>
  <c r="F68" i="5"/>
  <c r="F67" i="5"/>
  <c r="F66" i="5"/>
  <c r="F65" i="5"/>
  <c r="F61" i="5"/>
  <c r="F60" i="5"/>
  <c r="F59" i="5"/>
  <c r="F58" i="5"/>
  <c r="F53" i="5"/>
  <c r="F52" i="5"/>
  <c r="F51" i="5"/>
  <c r="F47" i="5"/>
  <c r="F46" i="5"/>
  <c r="F45" i="5"/>
  <c r="F44" i="5"/>
  <c r="F40" i="5"/>
  <c r="F39" i="5"/>
  <c r="F38" i="5"/>
  <c r="F37" i="5"/>
  <c r="F33" i="5"/>
  <c r="F32" i="5"/>
  <c r="F31" i="5"/>
  <c r="F30" i="5"/>
  <c r="F26" i="5"/>
  <c r="F25" i="5"/>
  <c r="F24" i="5"/>
  <c r="F23" i="5"/>
  <c r="F19" i="5"/>
  <c r="F18" i="5"/>
  <c r="F17" i="5"/>
  <c r="F16" i="5"/>
  <c r="F12" i="5"/>
  <c r="F11" i="5"/>
  <c r="F10" i="5"/>
  <c r="F9" i="5"/>
  <c r="F5" i="5"/>
  <c r="F4" i="5"/>
  <c r="F3" i="5"/>
  <c r="F2" i="5"/>
  <c r="E7" i="8"/>
  <c r="E6" i="8"/>
  <c r="E5" i="8"/>
  <c r="E4" i="8"/>
  <c r="F4" i="8" s="1"/>
  <c r="G4" i="8" s="1"/>
  <c r="E3" i="8"/>
  <c r="E2" i="8"/>
  <c r="F2" i="8" s="1"/>
  <c r="G2" i="8" s="1"/>
  <c r="F6" i="8" l="1"/>
  <c r="G6" i="8" s="1"/>
  <c r="J49" i="6"/>
  <c r="D49" i="6"/>
  <c r="J48" i="6"/>
  <c r="D48" i="6"/>
  <c r="J47" i="6"/>
  <c r="D47" i="6"/>
  <c r="J46" i="6"/>
  <c r="D46" i="6"/>
  <c r="J45" i="6"/>
  <c r="D45" i="6"/>
  <c r="J42" i="6"/>
  <c r="D42" i="6"/>
  <c r="J41" i="6"/>
  <c r="D41" i="6"/>
  <c r="J40" i="6"/>
  <c r="D40" i="6"/>
  <c r="J39" i="6"/>
  <c r="D39" i="6"/>
  <c r="J38" i="6"/>
  <c r="D38" i="6"/>
  <c r="J35" i="6"/>
  <c r="D35" i="6"/>
  <c r="J34" i="6"/>
  <c r="D34" i="6"/>
  <c r="J33" i="6"/>
  <c r="D33" i="6"/>
  <c r="J32" i="6"/>
  <c r="D32" i="6"/>
  <c r="J31" i="6"/>
  <c r="D31" i="6"/>
  <c r="J28" i="6"/>
  <c r="D28" i="6"/>
  <c r="J27" i="6"/>
  <c r="D27" i="6"/>
  <c r="J26" i="6"/>
  <c r="D26" i="6"/>
  <c r="J25" i="6"/>
  <c r="D25" i="6"/>
  <c r="J24" i="6"/>
  <c r="D24" i="6"/>
  <c r="J17" i="6"/>
  <c r="J21" i="6"/>
  <c r="D21" i="6"/>
  <c r="J20" i="6"/>
  <c r="D20" i="6"/>
  <c r="J19" i="6"/>
  <c r="D19" i="6"/>
  <c r="D18" i="6"/>
  <c r="D17" i="6"/>
  <c r="C13" i="6"/>
  <c r="E13" i="6" s="1"/>
  <c r="C12" i="6"/>
  <c r="E12" i="6" s="1"/>
  <c r="C11" i="6"/>
  <c r="E11" i="6" s="1"/>
  <c r="C10" i="6"/>
  <c r="E10" i="6" s="1"/>
  <c r="E9" i="6"/>
  <c r="E8" i="6"/>
  <c r="E7" i="6"/>
  <c r="E6" i="6"/>
  <c r="E5" i="6"/>
  <c r="E4" i="6"/>
  <c r="E3" i="6"/>
  <c r="E2" i="6"/>
  <c r="K49" i="6" l="1"/>
  <c r="K46" i="6"/>
  <c r="K18" i="6"/>
  <c r="K42" i="6"/>
  <c r="K35" i="6"/>
  <c r="K28" i="6"/>
  <c r="K48" i="6"/>
  <c r="K47" i="6"/>
  <c r="K45" i="6"/>
  <c r="K41" i="6"/>
  <c r="K40" i="6"/>
  <c r="K39" i="6"/>
  <c r="K38" i="6"/>
  <c r="K34" i="6"/>
  <c r="K33" i="6"/>
  <c r="K32" i="6"/>
  <c r="K31" i="6"/>
  <c r="K27" i="6"/>
  <c r="K26" i="6"/>
  <c r="K25" i="6"/>
  <c r="K24" i="6"/>
  <c r="K17" i="6"/>
  <c r="K19" i="6"/>
  <c r="K21" i="6"/>
  <c r="K20" i="6"/>
  <c r="F6" i="6"/>
  <c r="G6" i="6" s="1"/>
  <c r="F2" i="6"/>
  <c r="G2" i="6" s="1"/>
  <c r="F10" i="6"/>
  <c r="G10" i="6" s="1"/>
  <c r="H10" i="6" l="1"/>
  <c r="L40" i="6" s="1"/>
  <c r="L41" i="6" l="1"/>
  <c r="L26" i="6"/>
  <c r="L42" i="6"/>
  <c r="L21" i="6"/>
  <c r="L28" i="6"/>
  <c r="L34" i="6"/>
  <c r="L47" i="6"/>
  <c r="L19" i="6"/>
  <c r="L39" i="6"/>
  <c r="L38" i="6"/>
  <c r="L45" i="6"/>
  <c r="L49" i="6"/>
  <c r="L46" i="6"/>
  <c r="L27" i="6"/>
  <c r="L31" i="6"/>
  <c r="L32" i="6"/>
  <c r="L24" i="6"/>
  <c r="L48" i="6"/>
  <c r="L17" i="6"/>
  <c r="L33" i="6"/>
  <c r="L18" i="6"/>
  <c r="L25" i="6"/>
  <c r="L35" i="6"/>
  <c r="L20" i="6"/>
  <c r="D104" i="5"/>
  <c r="G104" i="5" s="1"/>
  <c r="D103" i="5"/>
  <c r="D102" i="5"/>
  <c r="D101" i="5"/>
  <c r="D100" i="5"/>
  <c r="G100" i="5" s="1"/>
  <c r="D97" i="5"/>
  <c r="G97" i="5" s="1"/>
  <c r="D96" i="5"/>
  <c r="G96" i="5" s="1"/>
  <c r="D95" i="5"/>
  <c r="G95" i="5" s="1"/>
  <c r="D94" i="5"/>
  <c r="D93" i="5"/>
  <c r="G93" i="5" s="1"/>
  <c r="D90" i="5"/>
  <c r="G90" i="5" s="1"/>
  <c r="D89" i="5"/>
  <c r="G89" i="5" s="1"/>
  <c r="D88" i="5"/>
  <c r="G88" i="5" s="1"/>
  <c r="D87" i="5"/>
  <c r="G87" i="5" s="1"/>
  <c r="D86" i="5"/>
  <c r="G86" i="5" s="1"/>
  <c r="D83" i="5"/>
  <c r="G83" i="5" s="1"/>
  <c r="D82" i="5"/>
  <c r="D81" i="5"/>
  <c r="G81" i="5" s="1"/>
  <c r="D80" i="5"/>
  <c r="D79" i="5"/>
  <c r="D76" i="5"/>
  <c r="G76" i="5" s="1"/>
  <c r="D75" i="5"/>
  <c r="D74" i="5"/>
  <c r="G74" i="5" s="1"/>
  <c r="D73" i="5"/>
  <c r="G73" i="5" s="1"/>
  <c r="D72" i="5"/>
  <c r="G72" i="5" s="1"/>
  <c r="D69" i="5"/>
  <c r="G69" i="5" s="1"/>
  <c r="D68" i="5"/>
  <c r="D67" i="5"/>
  <c r="G67" i="5" s="1"/>
  <c r="D66" i="5"/>
  <c r="D65" i="5"/>
  <c r="G65" i="5" s="1"/>
  <c r="D62" i="5"/>
  <c r="G62" i="5" s="1"/>
  <c r="D61" i="5"/>
  <c r="G61" i="5" s="1"/>
  <c r="D60" i="5"/>
  <c r="D59" i="5"/>
  <c r="G59" i="5" s="1"/>
  <c r="D58" i="5"/>
  <c r="G58" i="5" s="1"/>
  <c r="D55" i="5"/>
  <c r="D54" i="5"/>
  <c r="D53" i="5"/>
  <c r="G53" i="5" s="1"/>
  <c r="D52" i="5"/>
  <c r="D51" i="5"/>
  <c r="G51" i="5" s="1"/>
  <c r="D48" i="5"/>
  <c r="G48" i="5" s="1"/>
  <c r="D47" i="5"/>
  <c r="G47" i="5" s="1"/>
  <c r="D46" i="5"/>
  <c r="G46" i="5" s="1"/>
  <c r="D45" i="5"/>
  <c r="D44" i="5"/>
  <c r="G44" i="5" s="1"/>
  <c r="D41" i="5"/>
  <c r="G41" i="5" s="1"/>
  <c r="D40" i="5"/>
  <c r="G40" i="5" s="1"/>
  <c r="D39" i="5"/>
  <c r="D38" i="5"/>
  <c r="D37" i="5"/>
  <c r="G37" i="5" s="1"/>
  <c r="D34" i="5"/>
  <c r="G34" i="5" s="1"/>
  <c r="D33" i="5"/>
  <c r="G33" i="5" s="1"/>
  <c r="D32" i="5"/>
  <c r="D31" i="5"/>
  <c r="G31" i="5" s="1"/>
  <c r="D30" i="5"/>
  <c r="G30" i="5" s="1"/>
  <c r="D27" i="5"/>
  <c r="G27" i="5" s="1"/>
  <c r="D26" i="5"/>
  <c r="D25" i="5"/>
  <c r="D24" i="5"/>
  <c r="G24" i="5" s="1"/>
  <c r="D23" i="5"/>
  <c r="D20" i="5"/>
  <c r="G20" i="5" s="1"/>
  <c r="D19" i="5"/>
  <c r="G19" i="5" s="1"/>
  <c r="D18" i="5"/>
  <c r="G18" i="5" s="1"/>
  <c r="D17" i="5"/>
  <c r="G17" i="5" s="1"/>
  <c r="D16" i="5"/>
  <c r="D13" i="5"/>
  <c r="G13" i="5" s="1"/>
  <c r="D12" i="5"/>
  <c r="G12" i="5" s="1"/>
  <c r="D11" i="5"/>
  <c r="D10" i="5"/>
  <c r="D9" i="5"/>
  <c r="G9" i="5" s="1"/>
  <c r="G102" i="5" l="1"/>
  <c r="G101" i="5"/>
  <c r="G80" i="5"/>
  <c r="G79" i="5"/>
  <c r="G75" i="5"/>
  <c r="G66" i="5"/>
  <c r="G60" i="5"/>
  <c r="G52" i="5"/>
  <c r="G45" i="5"/>
  <c r="G39" i="5"/>
  <c r="G38" i="5"/>
  <c r="G32" i="5"/>
  <c r="G26" i="5"/>
  <c r="G25" i="5"/>
  <c r="G23" i="5"/>
  <c r="G16" i="5"/>
  <c r="G11" i="5"/>
  <c r="G10" i="5"/>
  <c r="G55" i="5"/>
  <c r="G103" i="5"/>
  <c r="G82" i="5"/>
  <c r="D6" i="5" l="1"/>
  <c r="D5" i="5"/>
  <c r="D4" i="5"/>
  <c r="G4" i="5" s="1"/>
  <c r="D3" i="5"/>
  <c r="G3" i="5" s="1"/>
  <c r="D2" i="5"/>
  <c r="G6" i="5" l="1"/>
  <c r="G2" i="5"/>
</calcChain>
</file>

<file path=xl/sharedStrings.xml><?xml version="1.0" encoding="utf-8"?>
<sst xmlns="http://schemas.openxmlformats.org/spreadsheetml/2006/main" count="261" uniqueCount="55">
  <si>
    <t>number of CFU (not diluted)</t>
  </si>
  <si>
    <t>mean in 10 µL</t>
  </si>
  <si>
    <t>feces weights (mg)</t>
  </si>
  <si>
    <t>Log10 CFU/g of feces</t>
  </si>
  <si>
    <t>Dilution factor</t>
  </si>
  <si>
    <t>Colony Count</t>
  </si>
  <si>
    <t>Dilution Factor</t>
  </si>
  <si>
    <t>Average CFUs</t>
  </si>
  <si>
    <t>Log CFUs</t>
  </si>
  <si>
    <t>day 7</t>
  </si>
  <si>
    <t>CFUs/50uL</t>
  </si>
  <si>
    <t>day 3</t>
  </si>
  <si>
    <t>day 5</t>
  </si>
  <si>
    <t>day 14</t>
  </si>
  <si>
    <t>day 10</t>
  </si>
  <si>
    <t xml:space="preserve"> </t>
  </si>
  <si>
    <t>Ratio input (WT/lacZ)</t>
  </si>
  <si>
    <t>TOTAL</t>
  </si>
  <si>
    <t>BL012LacZ - VBMXgal80 plates (blue)</t>
  </si>
  <si>
    <t>dilution factor</t>
  </si>
  <si>
    <t>Mean in 10µL</t>
  </si>
  <si>
    <t>Output WT/LacZ</t>
  </si>
  <si>
    <t>Compet index</t>
  </si>
  <si>
    <t>number of blue CFU (BL012 LacZ)</t>
  </si>
  <si>
    <t>number of white CFU (BL012)</t>
  </si>
  <si>
    <t>Compet index WT/LacZ</t>
  </si>
  <si>
    <t>BL048 vs BL012 LacZ</t>
  </si>
  <si>
    <t>BL048 - VBMXgal80 plates (white)</t>
  </si>
  <si>
    <t>BL048:BL012 LacZ mouse 1 input ratio: 0.74</t>
  </si>
  <si>
    <t>number of white/gentR CFU (BL048)</t>
  </si>
  <si>
    <t>BL048:BL012 LacZ mouse 2 input ratio: 0.74</t>
  </si>
  <si>
    <t>BL048:BL012 LacZ mouse 3 input ratio: 0.74</t>
  </si>
  <si>
    <t>BL048:BL012 LacZ mouse 4 input ratio: 0.74</t>
  </si>
  <si>
    <t>BL048:BL012 LacZ mouse 5 input ratio: 0.74</t>
  </si>
  <si>
    <t>OD600 reached</t>
  </si>
  <si>
    <t>BL004 - VBM plates</t>
  </si>
  <si>
    <t>BL006 - VBM plates</t>
  </si>
  <si>
    <t>BL049 - VBM plates</t>
  </si>
  <si>
    <r>
      <t>BL004 mouse 1 - 10^</t>
    </r>
    <r>
      <rPr>
        <b/>
        <sz val="11"/>
        <color theme="1"/>
        <rFont val="Calibri (Body)"/>
      </rPr>
      <t>5.6</t>
    </r>
  </si>
  <si>
    <t>BL004 mouse 2 - 10^5.6</t>
  </si>
  <si>
    <t>BL004 mouse 3 - 10^5.6</t>
  </si>
  <si>
    <t>BL004 mouse 4 - 10^5.6</t>
  </si>
  <si>
    <t>BL004 mouse 5 - 10^5.6</t>
  </si>
  <si>
    <t>BL006 mouse 1 - 10^5.3</t>
  </si>
  <si>
    <t>BL006 mouse 2 - 10^5.3</t>
  </si>
  <si>
    <t>BL006 mouse 3 - 10^5.3</t>
  </si>
  <si>
    <t>BL006 mouse 4 - 10^5.3</t>
  </si>
  <si>
    <t>BL006 mouse 5 - 10^5.3</t>
  </si>
  <si>
    <t>BL049 mouse 1 - 10^6.2</t>
  </si>
  <si>
    <t>BL049 mouse 2 - 10^6.2</t>
  </si>
  <si>
    <t>BL049 mouse 3 - 10^6.2</t>
  </si>
  <si>
    <t>BL049 mouse 4 - 10^6.2</t>
  </si>
  <si>
    <t>BL049 mouse 5 - 10^6.2</t>
  </si>
  <si>
    <t xml:space="preserve">day 10 - beadblaster issue </t>
  </si>
  <si>
    <t>day 5 - didn't poop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</si>
</sst>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6" formatCode="0.000000"/>
  </numFmts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name val="Verdana"/>
      <family val="2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 (Body)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1" fontId="0" fillId="0" borderId="0" xfId="0" applyNumberFormat="1"/>
    <xf numFmtId="0" fontId="0" fillId="0" borderId="0" xfId="0" applyAlignment="1">
      <alignment horizontal="center"/>
    </xf>
    <xf numFmtId="2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164" fontId="0" fillId="0" borderId="0" xfId="0" applyNumberFormat="1" applyAlignment="1">
      <alignment horizontal="center" vertical="center" wrapText="1"/>
    </xf>
    <xf numFmtId="164" fontId="0" fillId="0" borderId="0" xfId="0" applyNumberFormat="1"/>
    <xf numFmtId="1" fontId="0" fillId="0" borderId="0" xfId="0" applyNumberFormat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3" fillId="0" borderId="0" xfId="0" applyFont="1"/>
    <xf numFmtId="0" fontId="0" fillId="0" borderId="0" xfId="0" applyAlignment="1">
      <alignment horizontal="right"/>
    </xf>
    <xf numFmtId="0" fontId="0" fillId="0" borderId="0" xfId="0" applyAlignment="1">
      <alignment horizontal="right" vertical="center" wrapTex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center" vertical="center"/>
    </xf>
    <xf numFmtId="0" fontId="0" fillId="3" borderId="0" xfId="0" applyFill="1" applyAlignment="1">
      <alignment horizontal="center"/>
    </xf>
    <xf numFmtId="0" fontId="0" fillId="3" borderId="0" xfId="0" applyFill="1"/>
    <xf numFmtId="164" fontId="0" fillId="3" borderId="0" xfId="0" applyNumberFormat="1" applyFill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1" fillId="0" borderId="0" xfId="0" applyFont="1"/>
    <xf numFmtId="0" fontId="5" fillId="0" borderId="0" xfId="0" applyFont="1"/>
    <xf numFmtId="0" fontId="2" fillId="0" borderId="0" xfId="0" applyFont="1" applyAlignment="1">
      <alignment horizontal="center" vertical="center" wrapText="1"/>
    </xf>
    <xf numFmtId="0" fontId="0" fillId="0" borderId="5" xfId="0" applyBorder="1"/>
    <xf numFmtId="11" fontId="0" fillId="0" borderId="6" xfId="0" applyNumberFormat="1" applyBorder="1" applyAlignment="1">
      <alignment horizontal="center" vertical="center"/>
    </xf>
    <xf numFmtId="11" fontId="0" fillId="0" borderId="4" xfId="0" applyNumberFormat="1" applyBorder="1" applyAlignment="1">
      <alignment horizontal="center" vertical="center"/>
    </xf>
    <xf numFmtId="0" fontId="0" fillId="0" borderId="11" xfId="0" applyBorder="1"/>
    <xf numFmtId="11" fontId="0" fillId="0" borderId="12" xfId="0" applyNumberFormat="1" applyBorder="1" applyAlignment="1">
      <alignment horizontal="center" vertical="center"/>
    </xf>
    <xf numFmtId="11" fontId="0" fillId="0" borderId="1" xfId="0" applyNumberFormat="1" applyBorder="1" applyAlignment="1">
      <alignment horizontal="center" vertical="center"/>
    </xf>
    <xf numFmtId="0" fontId="0" fillId="0" borderId="12" xfId="0" applyBorder="1"/>
    <xf numFmtId="11" fontId="0" fillId="0" borderId="12" xfId="0" applyNumberFormat="1" applyBorder="1" applyAlignment="1">
      <alignment horizontal="center"/>
    </xf>
    <xf numFmtId="11" fontId="0" fillId="0" borderId="14" xfId="0" applyNumberFormat="1" applyBorder="1" applyAlignment="1">
      <alignment horizontal="center"/>
    </xf>
    <xf numFmtId="0" fontId="0" fillId="0" borderId="23" xfId="0" applyBorder="1"/>
    <xf numFmtId="11" fontId="0" fillId="0" borderId="23" xfId="0" applyNumberFormat="1" applyBorder="1" applyAlignment="1">
      <alignment horizontal="center"/>
    </xf>
    <xf numFmtId="11" fontId="0" fillId="0" borderId="23" xfId="0" applyNumberFormat="1" applyBorder="1" applyAlignment="1">
      <alignment horizontal="center" vertical="center"/>
    </xf>
    <xf numFmtId="1" fontId="0" fillId="0" borderId="0" xfId="0" applyNumberFormat="1" applyAlignment="1">
      <alignment horizontal="center" vertical="center" wrapText="1"/>
    </xf>
    <xf numFmtId="0" fontId="0" fillId="0" borderId="21" xfId="0" applyBorder="1"/>
    <xf numFmtId="0" fontId="0" fillId="0" borderId="3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11" fontId="0" fillId="0" borderId="7" xfId="0" applyNumberFormat="1" applyBorder="1" applyAlignment="1">
      <alignment horizontal="center" vertical="center"/>
    </xf>
    <xf numFmtId="11" fontId="0" fillId="0" borderId="25" xfId="0" applyNumberFormat="1" applyBorder="1" applyAlignment="1">
      <alignment horizontal="center" vertical="center"/>
    </xf>
    <xf numFmtId="2" fontId="6" fillId="2" borderId="8" xfId="0" applyNumberFormat="1" applyFont="1" applyFill="1" applyBorder="1" applyAlignment="1">
      <alignment horizontal="center" vertical="center"/>
    </xf>
    <xf numFmtId="2" fontId="6" fillId="2" borderId="24" xfId="0" applyNumberFormat="1" applyFont="1" applyFill="1" applyBorder="1" applyAlignment="1">
      <alignment horizontal="center" vertical="center"/>
    </xf>
    <xf numFmtId="0" fontId="0" fillId="5" borderId="0" xfId="0" applyFill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9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11" fontId="0" fillId="0" borderId="2" xfId="0" applyNumberFormat="1" applyBorder="1" applyAlignment="1">
      <alignment horizontal="center" vertical="center"/>
    </xf>
    <xf numFmtId="2" fontId="0" fillId="0" borderId="8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11" fontId="0" fillId="0" borderId="12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11" fontId="0" fillId="0" borderId="14" xfId="0" applyNumberFormat="1" applyBorder="1" applyAlignment="1">
      <alignment horizontal="center" vertical="center"/>
    </xf>
    <xf numFmtId="11" fontId="0" fillId="0" borderId="10" xfId="0" applyNumberFormat="1" applyBorder="1" applyAlignment="1">
      <alignment horizontal="center" vertical="center"/>
    </xf>
    <xf numFmtId="2" fontId="0" fillId="2" borderId="16" xfId="0" applyNumberFormat="1" applyFill="1" applyBorder="1" applyAlignment="1">
      <alignment horizontal="center" vertical="center"/>
    </xf>
    <xf numFmtId="2" fontId="0" fillId="2" borderId="18" xfId="0" applyNumberFormat="1" applyFill="1" applyBorder="1" applyAlignment="1">
      <alignment horizontal="center" vertical="center"/>
    </xf>
    <xf numFmtId="2" fontId="0" fillId="2" borderId="24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2" fontId="0" fillId="2" borderId="19" xfId="0" applyNumberFormat="1" applyFill="1" applyBorder="1" applyAlignment="1">
      <alignment horizontal="center" vertical="center"/>
    </xf>
    <xf numFmtId="2" fontId="0" fillId="2" borderId="22" xfId="0" applyNumberFormat="1" applyFill="1" applyBorder="1" applyAlignment="1">
      <alignment horizontal="center" vertical="center"/>
    </xf>
    <xf numFmtId="166" fontId="0" fillId="0" borderId="0" xfId="0" applyNumberFormat="1"/>
    <xf numFmtId="166" fontId="0" fillId="3" borderId="0" xfId="0" applyNumberFormat="1" applyFill="1"/>
    <xf numFmtId="166" fontId="0" fillId="0" borderId="0" xfId="0" applyNumberForma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B4FC5-8FB2-8E4B-A47D-4D2B1A3866D4}">
  <dimension ref="B1:I7"/>
  <sheetViews>
    <sheetView workbookViewId="0">
      <selection activeCell="H17" sqref="H17"/>
    </sheetView>
  </sheetViews>
  <sheetFormatPr baseColWidth="10" defaultRowHeight="16" x14ac:dyDescent="0.2"/>
  <cols>
    <col min="5" max="5" width="11.1640625" customWidth="1"/>
  </cols>
  <sheetData>
    <row r="1" spans="2:9" ht="29" thickBot="1" x14ac:dyDescent="0.25">
      <c r="B1" s="1"/>
      <c r="C1" s="25" t="s">
        <v>5</v>
      </c>
      <c r="D1" s="25" t="s">
        <v>6</v>
      </c>
      <c r="E1" s="25" t="s">
        <v>10</v>
      </c>
      <c r="F1" s="25" t="s">
        <v>7</v>
      </c>
      <c r="G1" s="25" t="s">
        <v>8</v>
      </c>
      <c r="H1" s="25"/>
      <c r="I1" s="25" t="s">
        <v>34</v>
      </c>
    </row>
    <row r="2" spans="2:9" x14ac:dyDescent="0.2">
      <c r="B2" s="40" t="s">
        <v>35</v>
      </c>
      <c r="C2" s="26">
        <v>8</v>
      </c>
      <c r="D2" s="27">
        <v>10000</v>
      </c>
      <c r="E2" s="28">
        <f t="shared" ref="E2:E7" si="0">C2*5*D2</f>
        <v>400000</v>
      </c>
      <c r="F2" s="42">
        <f>AVERAGE(E2:E3)</f>
        <v>450000</v>
      </c>
      <c r="G2" s="44">
        <f>LOG10(F2)</f>
        <v>5.653212513775344</v>
      </c>
      <c r="I2" s="46">
        <v>0.40400000000000003</v>
      </c>
    </row>
    <row r="3" spans="2:9" ht="17" thickBot="1" x14ac:dyDescent="0.25">
      <c r="B3" s="41"/>
      <c r="C3" s="39">
        <v>10</v>
      </c>
      <c r="D3" s="37">
        <v>10000</v>
      </c>
      <c r="E3" s="37">
        <f t="shared" si="0"/>
        <v>500000</v>
      </c>
      <c r="F3" s="43"/>
      <c r="G3" s="45"/>
      <c r="I3" s="46"/>
    </row>
    <row r="4" spans="2:9" x14ac:dyDescent="0.2">
      <c r="B4" s="40" t="s">
        <v>36</v>
      </c>
      <c r="C4" s="26">
        <v>40</v>
      </c>
      <c r="D4" s="27">
        <v>1000</v>
      </c>
      <c r="E4" s="28">
        <f t="shared" si="0"/>
        <v>200000</v>
      </c>
      <c r="F4" s="42">
        <f>AVERAGE(E4:E5)</f>
        <v>212500</v>
      </c>
      <c r="G4" s="44">
        <f>LOG10(F4)</f>
        <v>5.3273589343863303</v>
      </c>
      <c r="I4" s="46">
        <v>0.37</v>
      </c>
    </row>
    <row r="5" spans="2:9" ht="17" thickBot="1" x14ac:dyDescent="0.25">
      <c r="B5" s="41"/>
      <c r="C5" s="39">
        <v>45</v>
      </c>
      <c r="D5" s="37">
        <v>1000</v>
      </c>
      <c r="E5" s="37">
        <f t="shared" si="0"/>
        <v>225000</v>
      </c>
      <c r="F5" s="43"/>
      <c r="G5" s="45"/>
      <c r="I5" s="46"/>
    </row>
    <row r="6" spans="2:9" x14ac:dyDescent="0.2">
      <c r="B6" s="40" t="s">
        <v>37</v>
      </c>
      <c r="C6" s="26">
        <v>22</v>
      </c>
      <c r="D6" s="27">
        <v>10000</v>
      </c>
      <c r="E6" s="28">
        <f t="shared" si="0"/>
        <v>1100000</v>
      </c>
      <c r="F6" s="42">
        <f>AVERAGE(E6:E7)</f>
        <v>1550000</v>
      </c>
      <c r="G6" s="44">
        <f>LOG10(F6)</f>
        <v>6.1903316981702918</v>
      </c>
      <c r="I6" s="47">
        <v>0.33600000000000002</v>
      </c>
    </row>
    <row r="7" spans="2:9" ht="17" thickBot="1" x14ac:dyDescent="0.25">
      <c r="B7" s="41"/>
      <c r="C7" s="39">
        <v>40</v>
      </c>
      <c r="D7" s="37">
        <v>10000</v>
      </c>
      <c r="E7" s="37">
        <f t="shared" si="0"/>
        <v>2000000</v>
      </c>
      <c r="F7" s="43"/>
      <c r="G7" s="45"/>
      <c r="I7" s="47"/>
    </row>
  </sheetData>
  <mergeCells count="12">
    <mergeCell ref="B6:B7"/>
    <mergeCell ref="F6:F7"/>
    <mergeCell ref="G6:G7"/>
    <mergeCell ref="I4:I5"/>
    <mergeCell ref="I6:I7"/>
    <mergeCell ref="B2:B3"/>
    <mergeCell ref="F2:F3"/>
    <mergeCell ref="G2:G3"/>
    <mergeCell ref="I2:I3"/>
    <mergeCell ref="B4:B5"/>
    <mergeCell ref="F4:F5"/>
    <mergeCell ref="G4:G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86D40-825C-8140-88B8-F7EAC264E022}">
  <dimension ref="A1:N286"/>
  <sheetViews>
    <sheetView zoomScale="116" zoomScaleNormal="100" workbookViewId="0">
      <selection activeCell="O15" sqref="O15"/>
    </sheetView>
  </sheetViews>
  <sheetFormatPr baseColWidth="10" defaultRowHeight="16" x14ac:dyDescent="0.2"/>
  <cols>
    <col min="1" max="1" width="16.83203125" customWidth="1"/>
  </cols>
  <sheetData>
    <row r="1" spans="1:8" ht="51" x14ac:dyDescent="0.2">
      <c r="A1" s="2" t="s">
        <v>38</v>
      </c>
      <c r="B1" s="48" t="s">
        <v>0</v>
      </c>
      <c r="C1" s="48"/>
      <c r="D1" s="6" t="s">
        <v>1</v>
      </c>
      <c r="E1" s="6" t="s">
        <v>4</v>
      </c>
      <c r="F1" s="6" t="s">
        <v>2</v>
      </c>
      <c r="G1" s="8" t="s">
        <v>3</v>
      </c>
      <c r="H1" s="8"/>
    </row>
    <row r="2" spans="1:8" x14ac:dyDescent="0.2">
      <c r="A2" s="4" t="s">
        <v>11</v>
      </c>
      <c r="B2">
        <v>25</v>
      </c>
      <c r="C2">
        <v>20</v>
      </c>
      <c r="D2">
        <f>AVERAGE(B2:C2)</f>
        <v>22.5</v>
      </c>
      <c r="E2" s="4">
        <v>10000</v>
      </c>
      <c r="F2" s="4">
        <f>1751.5-1718</f>
        <v>33.5</v>
      </c>
      <c r="G2" s="9">
        <f>LOG10(D2*100*E2/F2*1000)</f>
        <v>8.8271377110745171</v>
      </c>
      <c r="H2" s="9"/>
    </row>
    <row r="3" spans="1:8" x14ac:dyDescent="0.2">
      <c r="A3" s="4" t="s">
        <v>12</v>
      </c>
      <c r="B3">
        <v>31</v>
      </c>
      <c r="C3">
        <v>32</v>
      </c>
      <c r="D3">
        <f t="shared" ref="D3:D6" si="0">AVERAGE(B3:C3)</f>
        <v>31.5</v>
      </c>
      <c r="E3" s="4">
        <v>10000</v>
      </c>
      <c r="F3" s="4">
        <f>1731-1705.5</f>
        <v>25.5</v>
      </c>
      <c r="G3" s="9">
        <f>LOG10(D3*100*E3/F3*1000)</f>
        <v>9.0917703733556454</v>
      </c>
      <c r="H3" s="9"/>
    </row>
    <row r="4" spans="1:8" x14ac:dyDescent="0.2">
      <c r="A4" s="4" t="s">
        <v>9</v>
      </c>
      <c r="B4">
        <v>17</v>
      </c>
      <c r="C4">
        <v>24</v>
      </c>
      <c r="D4">
        <f t="shared" si="0"/>
        <v>20.5</v>
      </c>
      <c r="E4" s="4">
        <v>10000</v>
      </c>
      <c r="F4" s="4">
        <f>1757.9-1723.6</f>
        <v>34.300000000000182</v>
      </c>
      <c r="G4" s="9">
        <f t="shared" ref="G4:G6" si="1">LOG10(D4*100*E4/F4*1000)</f>
        <v>8.7764597410129817</v>
      </c>
      <c r="H4" s="9"/>
    </row>
    <row r="5" spans="1:8" x14ac:dyDescent="0.2">
      <c r="A5" s="4" t="s">
        <v>53</v>
      </c>
      <c r="D5" t="e">
        <f t="shared" si="0"/>
        <v>#DIV/0!</v>
      </c>
      <c r="E5" s="4"/>
      <c r="F5" s="4">
        <f>1850.6-1791.5</f>
        <v>59.099999999999909</v>
      </c>
      <c r="G5" s="9"/>
      <c r="H5" s="9"/>
    </row>
    <row r="6" spans="1:8" ht="16" customHeight="1" x14ac:dyDescent="0.2">
      <c r="A6" s="6" t="s">
        <v>13</v>
      </c>
      <c r="B6" s="7">
        <v>61</v>
      </c>
      <c r="C6" s="7">
        <v>63</v>
      </c>
      <c r="D6">
        <f t="shared" si="0"/>
        <v>62</v>
      </c>
      <c r="E6" s="6">
        <v>1</v>
      </c>
      <c r="F6" s="6">
        <f>1837.8-1724.6</f>
        <v>113.20000000000005</v>
      </c>
      <c r="G6" s="9">
        <f t="shared" si="1"/>
        <v>4.7385452626460012</v>
      </c>
      <c r="H6" s="9"/>
    </row>
    <row r="7" spans="1:8" x14ac:dyDescent="0.2">
      <c r="A7" s="4"/>
      <c r="E7" s="4"/>
      <c r="F7" s="4"/>
      <c r="G7" s="9"/>
      <c r="H7" s="9"/>
    </row>
    <row r="8" spans="1:8" ht="51" x14ac:dyDescent="0.2">
      <c r="A8" s="2" t="s">
        <v>39</v>
      </c>
      <c r="B8" s="48" t="s">
        <v>0</v>
      </c>
      <c r="C8" s="48"/>
      <c r="D8" s="6" t="s">
        <v>1</v>
      </c>
      <c r="E8" s="6" t="s">
        <v>4</v>
      </c>
      <c r="F8" s="6" t="s">
        <v>2</v>
      </c>
      <c r="G8" s="8" t="s">
        <v>3</v>
      </c>
      <c r="H8" s="9"/>
    </row>
    <row r="9" spans="1:8" x14ac:dyDescent="0.2">
      <c r="A9" s="4" t="s">
        <v>11</v>
      </c>
      <c r="B9">
        <v>40</v>
      </c>
      <c r="C9">
        <v>41</v>
      </c>
      <c r="D9">
        <f>AVERAGE(B9:C9)</f>
        <v>40.5</v>
      </c>
      <c r="E9" s="4">
        <v>1000</v>
      </c>
      <c r="F9" s="4">
        <f>1816-1803.3</f>
        <v>12.700000000000045</v>
      </c>
      <c r="G9" s="9">
        <f>LOG10(D9*100*E9/F9*1000)</f>
        <v>8.5036513022587101</v>
      </c>
      <c r="H9" s="9"/>
    </row>
    <row r="10" spans="1:8" x14ac:dyDescent="0.2">
      <c r="A10" s="4" t="s">
        <v>12</v>
      </c>
      <c r="B10">
        <v>56</v>
      </c>
      <c r="C10">
        <v>62</v>
      </c>
      <c r="D10">
        <f t="shared" ref="D10:D13" si="2">AVERAGE(B10:C10)</f>
        <v>59</v>
      </c>
      <c r="E10" s="4">
        <v>1000</v>
      </c>
      <c r="F10" s="4">
        <f>1734.4-1719.8</f>
        <v>14.600000000000136</v>
      </c>
      <c r="G10" s="9">
        <f>LOG10(D10*100*E10/F10*1000)</f>
        <v>8.6064991558577031</v>
      </c>
      <c r="H10" s="9"/>
    </row>
    <row r="11" spans="1:8" x14ac:dyDescent="0.2">
      <c r="A11" s="4" t="s">
        <v>9</v>
      </c>
      <c r="B11">
        <v>23</v>
      </c>
      <c r="C11">
        <v>28</v>
      </c>
      <c r="D11">
        <f t="shared" si="2"/>
        <v>25.5</v>
      </c>
      <c r="E11" s="4">
        <v>10000</v>
      </c>
      <c r="F11" s="4">
        <f>1815.8-1785.1</f>
        <v>30.700000000000045</v>
      </c>
      <c r="G11" s="9">
        <f t="shared" ref="G11:G13" si="3">LOG10(D11*100*E11/F11*1000)</f>
        <v>8.9194018049567685</v>
      </c>
      <c r="H11" s="9"/>
    </row>
    <row r="12" spans="1:8" x14ac:dyDescent="0.2">
      <c r="A12" s="4" t="s">
        <v>14</v>
      </c>
      <c r="B12">
        <v>28</v>
      </c>
      <c r="C12">
        <v>22</v>
      </c>
      <c r="D12">
        <f t="shared" si="2"/>
        <v>25</v>
      </c>
      <c r="E12" s="4">
        <v>1000</v>
      </c>
      <c r="F12" s="4">
        <f>1813.4-1730</f>
        <v>83.400000000000091</v>
      </c>
      <c r="G12" s="9">
        <f t="shared" si="3"/>
        <v>7.4767739580342987</v>
      </c>
      <c r="H12" s="9"/>
    </row>
    <row r="13" spans="1:8" ht="17" x14ac:dyDescent="0.2">
      <c r="A13" s="6" t="s">
        <v>13</v>
      </c>
      <c r="B13" s="7">
        <v>12</v>
      </c>
      <c r="C13" s="7">
        <v>15</v>
      </c>
      <c r="D13">
        <f t="shared" si="2"/>
        <v>13.5</v>
      </c>
      <c r="E13" s="6">
        <v>100</v>
      </c>
      <c r="F13" s="6">
        <f>1850.3-1801</f>
        <v>49.299999999999955</v>
      </c>
      <c r="G13" s="9">
        <f t="shared" si="3"/>
        <v>6.4374868492177768</v>
      </c>
      <c r="H13" s="9"/>
    </row>
    <row r="14" spans="1:8" x14ac:dyDescent="0.2">
      <c r="A14" s="4"/>
      <c r="E14" s="4"/>
      <c r="F14" s="4"/>
      <c r="G14" s="9"/>
      <c r="H14" s="9"/>
    </row>
    <row r="15" spans="1:8" ht="51" x14ac:dyDescent="0.2">
      <c r="A15" s="2" t="s">
        <v>40</v>
      </c>
      <c r="B15" s="48" t="s">
        <v>0</v>
      </c>
      <c r="C15" s="48"/>
      <c r="D15" s="6" t="s">
        <v>1</v>
      </c>
      <c r="E15" s="6" t="s">
        <v>4</v>
      </c>
      <c r="F15" s="6" t="s">
        <v>2</v>
      </c>
      <c r="G15" s="8" t="s">
        <v>3</v>
      </c>
      <c r="H15" s="9"/>
    </row>
    <row r="16" spans="1:8" x14ac:dyDescent="0.2">
      <c r="A16" s="4" t="s">
        <v>11</v>
      </c>
      <c r="B16">
        <v>32</v>
      </c>
      <c r="C16">
        <v>30</v>
      </c>
      <c r="D16">
        <f>AVERAGE(B16:C16)</f>
        <v>31</v>
      </c>
      <c r="E16" s="4">
        <v>10000</v>
      </c>
      <c r="F16" s="4">
        <f>1766.2-1738</f>
        <v>28.200000000000045</v>
      </c>
      <c r="G16" s="9">
        <f>LOG10(D16*100*E16/F16*1000)</f>
        <v>9.0411125855149113</v>
      </c>
      <c r="H16" s="9"/>
    </row>
    <row r="17" spans="1:8" x14ac:dyDescent="0.2">
      <c r="A17" s="4" t="s">
        <v>12</v>
      </c>
      <c r="B17">
        <v>31</v>
      </c>
      <c r="C17">
        <v>29</v>
      </c>
      <c r="D17">
        <f t="shared" ref="D17:D20" si="4">AVERAGE(B17:C17)</f>
        <v>30</v>
      </c>
      <c r="E17" s="4">
        <v>10000</v>
      </c>
      <c r="F17" s="4">
        <f>1817.1-1790.7</f>
        <v>26.399999999999864</v>
      </c>
      <c r="G17" s="9">
        <f>LOG10(D17*100*E17/F17*1000)</f>
        <v>9.0555173278498344</v>
      </c>
      <c r="H17" s="9"/>
    </row>
    <row r="18" spans="1:8" x14ac:dyDescent="0.2">
      <c r="A18" s="4" t="s">
        <v>9</v>
      </c>
      <c r="B18">
        <v>50</v>
      </c>
      <c r="C18">
        <v>45</v>
      </c>
      <c r="D18">
        <f t="shared" si="4"/>
        <v>47.5</v>
      </c>
      <c r="E18" s="4">
        <v>10000</v>
      </c>
      <c r="F18" s="4">
        <f>1746.8-1708.4</f>
        <v>38.399999999999864</v>
      </c>
      <c r="G18" s="9">
        <f t="shared" ref="G18:G20" si="5">LOG10(D18*100*E18/F18*1000)</f>
        <v>9.0923623852573368</v>
      </c>
      <c r="H18" s="9"/>
    </row>
    <row r="19" spans="1:8" x14ac:dyDescent="0.2">
      <c r="A19" s="4" t="s">
        <v>14</v>
      </c>
      <c r="B19">
        <v>28</v>
      </c>
      <c r="C19">
        <v>33</v>
      </c>
      <c r="D19">
        <f t="shared" si="4"/>
        <v>30.5</v>
      </c>
      <c r="E19" s="4">
        <v>100</v>
      </c>
      <c r="F19" s="4">
        <f>1861.9-1712.5</f>
        <v>149.40000000000009</v>
      </c>
      <c r="G19" s="9">
        <f t="shared" si="5"/>
        <v>6.3099492418674057</v>
      </c>
      <c r="H19" s="9"/>
    </row>
    <row r="20" spans="1:8" ht="17" x14ac:dyDescent="0.2">
      <c r="A20" s="6" t="s">
        <v>13</v>
      </c>
      <c r="B20" s="7">
        <v>32</v>
      </c>
      <c r="C20" s="7">
        <v>27</v>
      </c>
      <c r="D20">
        <f t="shared" si="4"/>
        <v>29.5</v>
      </c>
      <c r="E20" s="6">
        <v>1</v>
      </c>
      <c r="F20" s="6">
        <f>1887.4-1785.3</f>
        <v>102.10000000000014</v>
      </c>
      <c r="G20" s="9">
        <f t="shared" si="5"/>
        <v>4.4607962738912521</v>
      </c>
      <c r="H20" s="9"/>
    </row>
    <row r="21" spans="1:8" x14ac:dyDescent="0.2">
      <c r="A21" s="4"/>
      <c r="E21" s="4"/>
      <c r="F21" s="4"/>
      <c r="G21" s="9"/>
      <c r="H21" s="9"/>
    </row>
    <row r="22" spans="1:8" ht="51" x14ac:dyDescent="0.2">
      <c r="A22" s="2" t="s">
        <v>41</v>
      </c>
      <c r="B22" s="48" t="s">
        <v>0</v>
      </c>
      <c r="C22" s="48"/>
      <c r="D22" s="6" t="s">
        <v>1</v>
      </c>
      <c r="E22" s="6" t="s">
        <v>4</v>
      </c>
      <c r="F22" s="6" t="s">
        <v>2</v>
      </c>
      <c r="G22" s="8" t="s">
        <v>3</v>
      </c>
      <c r="H22" s="9"/>
    </row>
    <row r="23" spans="1:8" x14ac:dyDescent="0.2">
      <c r="A23" s="4" t="s">
        <v>11</v>
      </c>
      <c r="B23">
        <v>46</v>
      </c>
      <c r="C23">
        <v>53</v>
      </c>
      <c r="D23">
        <f>AVERAGE(B23:C23)</f>
        <v>49.5</v>
      </c>
      <c r="E23" s="4">
        <v>1000</v>
      </c>
      <c r="F23" s="4">
        <f>1810.7-1788.3</f>
        <v>22.400000000000091</v>
      </c>
      <c r="G23" s="9">
        <f>LOG10(D23*100*E23/F23*1000)</f>
        <v>8.3443571805994043</v>
      </c>
      <c r="H23" s="9"/>
    </row>
    <row r="24" spans="1:8" ht="16" customHeight="1" x14ac:dyDescent="0.2">
      <c r="A24" s="4" t="s">
        <v>12</v>
      </c>
      <c r="B24">
        <v>22</v>
      </c>
      <c r="C24">
        <v>22</v>
      </c>
      <c r="D24">
        <f t="shared" ref="D24:D27" si="6">AVERAGE(B24:C24)</f>
        <v>22</v>
      </c>
      <c r="E24" s="4">
        <v>10000</v>
      </c>
      <c r="F24" s="4">
        <f>1854.5-1796.6</f>
        <v>57.900000000000091</v>
      </c>
      <c r="G24" s="9">
        <f>LOG10(D24*100*E24/F24*1000)</f>
        <v>8.5797441170947693</v>
      </c>
      <c r="H24" s="9"/>
    </row>
    <row r="25" spans="1:8" ht="16" customHeight="1" x14ac:dyDescent="0.2">
      <c r="A25" s="4" t="s">
        <v>9</v>
      </c>
      <c r="B25">
        <v>26</v>
      </c>
      <c r="C25">
        <v>26</v>
      </c>
      <c r="D25">
        <f t="shared" si="6"/>
        <v>26</v>
      </c>
      <c r="E25" s="4">
        <v>1000</v>
      </c>
      <c r="F25" s="4">
        <f>1745.1-1709.7</f>
        <v>35.399999999999864</v>
      </c>
      <c r="G25" s="9">
        <f t="shared" ref="G25:G27" si="7">LOG10(D25*100*E25/F25*1000)</f>
        <v>7.8659700859450323</v>
      </c>
      <c r="H25" s="9"/>
    </row>
    <row r="26" spans="1:8" x14ac:dyDescent="0.2">
      <c r="A26" s="4" t="s">
        <v>14</v>
      </c>
      <c r="B26">
        <v>12</v>
      </c>
      <c r="C26">
        <v>7</v>
      </c>
      <c r="D26">
        <f t="shared" si="6"/>
        <v>9.5</v>
      </c>
      <c r="E26" s="4">
        <v>100</v>
      </c>
      <c r="F26" s="4">
        <f>1826.7-1715.1</f>
        <v>111.60000000000014</v>
      </c>
      <c r="G26" s="9">
        <f t="shared" si="7"/>
        <v>5.9300594106872877</v>
      </c>
      <c r="H26" s="9"/>
    </row>
    <row r="27" spans="1:8" ht="17" x14ac:dyDescent="0.2">
      <c r="A27" s="6" t="s">
        <v>13</v>
      </c>
      <c r="B27" s="7">
        <v>19</v>
      </c>
      <c r="C27" s="7">
        <v>16</v>
      </c>
      <c r="D27">
        <f t="shared" si="6"/>
        <v>17.5</v>
      </c>
      <c r="E27" s="6">
        <v>100</v>
      </c>
      <c r="F27" s="6">
        <f>1873.9-1791.4</f>
        <v>82.5</v>
      </c>
      <c r="G27" s="9">
        <f t="shared" si="7"/>
        <v>6.326584100136369</v>
      </c>
      <c r="H27" s="9"/>
    </row>
    <row r="28" spans="1:8" x14ac:dyDescent="0.2">
      <c r="A28" s="4"/>
      <c r="E28" s="4"/>
      <c r="F28" s="4"/>
      <c r="G28" s="9"/>
      <c r="H28" s="9"/>
    </row>
    <row r="29" spans="1:8" ht="51" x14ac:dyDescent="0.2">
      <c r="A29" s="2" t="s">
        <v>42</v>
      </c>
      <c r="B29" s="48" t="s">
        <v>0</v>
      </c>
      <c r="C29" s="48"/>
      <c r="D29" s="6" t="s">
        <v>1</v>
      </c>
      <c r="E29" s="6" t="s">
        <v>4</v>
      </c>
      <c r="F29" s="6" t="s">
        <v>2</v>
      </c>
      <c r="G29" s="8" t="s">
        <v>3</v>
      </c>
      <c r="H29" s="9"/>
    </row>
    <row r="30" spans="1:8" x14ac:dyDescent="0.2">
      <c r="A30" s="4" t="s">
        <v>11</v>
      </c>
      <c r="B30">
        <v>49</v>
      </c>
      <c r="C30">
        <v>47</v>
      </c>
      <c r="D30">
        <f>AVERAGE(B30:C30)</f>
        <v>48</v>
      </c>
      <c r="E30" s="4">
        <v>1000</v>
      </c>
      <c r="F30" s="4">
        <f>1735.1-1715.3</f>
        <v>19.799999999999955</v>
      </c>
      <c r="G30" s="9">
        <f>LOG10(D30*100*E30/F30*1000)</f>
        <v>8.3845760471140576</v>
      </c>
      <c r="H30" s="9"/>
    </row>
    <row r="31" spans="1:8" x14ac:dyDescent="0.2">
      <c r="A31" s="4" t="s">
        <v>12</v>
      </c>
      <c r="B31">
        <v>36</v>
      </c>
      <c r="C31">
        <v>37</v>
      </c>
      <c r="D31">
        <f t="shared" ref="D31:D34" si="8">AVERAGE(B31:C31)</f>
        <v>36.5</v>
      </c>
      <c r="E31" s="4">
        <v>1000</v>
      </c>
      <c r="F31" s="4">
        <f>1933.5-1913.4</f>
        <v>20.099999999999909</v>
      </c>
      <c r="G31" s="9">
        <f>LOG10(D31*100*E31/F31*1000)</f>
        <v>8.2590968070359878</v>
      </c>
      <c r="H31" s="9"/>
    </row>
    <row r="32" spans="1:8" x14ac:dyDescent="0.2">
      <c r="A32" s="4" t="s">
        <v>9</v>
      </c>
      <c r="B32">
        <v>38</v>
      </c>
      <c r="C32">
        <v>39</v>
      </c>
      <c r="D32">
        <f t="shared" si="8"/>
        <v>38.5</v>
      </c>
      <c r="E32" s="4">
        <v>1000</v>
      </c>
      <c r="F32" s="4">
        <f>1820.9-1787.4</f>
        <v>33.5</v>
      </c>
      <c r="G32" s="9">
        <f t="shared" ref="G32:G34" si="9">LOG10(D32*100*E32/F32*1000)</f>
        <v>8.0604159224716554</v>
      </c>
      <c r="H32" s="9"/>
    </row>
    <row r="33" spans="1:14" x14ac:dyDescent="0.2">
      <c r="A33" s="4" t="s">
        <v>14</v>
      </c>
      <c r="B33">
        <v>37</v>
      </c>
      <c r="C33">
        <v>42</v>
      </c>
      <c r="D33">
        <f t="shared" si="8"/>
        <v>39.5</v>
      </c>
      <c r="E33" s="4">
        <v>100</v>
      </c>
      <c r="F33" s="4">
        <f>1787-1730.9</f>
        <v>56.099999999999909</v>
      </c>
      <c r="G33" s="9">
        <f t="shared" si="9"/>
        <v>6.8476342343702994</v>
      </c>
      <c r="H33" s="8"/>
    </row>
    <row r="34" spans="1:14" ht="17" x14ac:dyDescent="0.2">
      <c r="A34" s="6" t="s">
        <v>13</v>
      </c>
      <c r="B34" s="7">
        <v>11</v>
      </c>
      <c r="C34" s="7">
        <v>20</v>
      </c>
      <c r="D34">
        <f t="shared" si="8"/>
        <v>15.5</v>
      </c>
      <c r="E34" s="6">
        <v>100</v>
      </c>
      <c r="F34" s="6">
        <f>1817.5-1727.5</f>
        <v>90</v>
      </c>
      <c r="G34" s="9">
        <f t="shared" si="9"/>
        <v>6.2360891887309666</v>
      </c>
      <c r="H34" s="9"/>
    </row>
    <row r="35" spans="1:14" s="19" customFormat="1" x14ac:dyDescent="0.2">
      <c r="A35" s="18"/>
      <c r="E35" s="18"/>
      <c r="F35" s="18"/>
      <c r="G35" s="20"/>
      <c r="H35" s="20"/>
    </row>
    <row r="36" spans="1:14" ht="51" x14ac:dyDescent="0.2">
      <c r="A36" s="2" t="s">
        <v>43</v>
      </c>
      <c r="B36" s="48" t="s">
        <v>0</v>
      </c>
      <c r="C36" s="48"/>
      <c r="D36" s="6" t="s">
        <v>1</v>
      </c>
      <c r="E36" s="6" t="s">
        <v>4</v>
      </c>
      <c r="F36" s="6" t="s">
        <v>2</v>
      </c>
      <c r="G36" s="8" t="s">
        <v>3</v>
      </c>
      <c r="H36" s="9"/>
    </row>
    <row r="37" spans="1:14" x14ac:dyDescent="0.2">
      <c r="A37" s="4" t="s">
        <v>11</v>
      </c>
      <c r="B37">
        <v>20</v>
      </c>
      <c r="C37">
        <v>8</v>
      </c>
      <c r="D37">
        <f>AVERAGE(B37:C37)</f>
        <v>14</v>
      </c>
      <c r="E37" s="4">
        <v>10000</v>
      </c>
      <c r="F37" s="4">
        <f>1727.6-1701.6</f>
        <v>26</v>
      </c>
      <c r="G37" s="9">
        <f>LOG10(D37*100*E37/F37*1000)</f>
        <v>8.73115468770742</v>
      </c>
      <c r="H37" s="9"/>
      <c r="J37" s="24"/>
      <c r="K37" s="24"/>
      <c r="L37" s="24"/>
      <c r="M37" s="24"/>
    </row>
    <row r="38" spans="1:14" x14ac:dyDescent="0.2">
      <c r="A38" s="4" t="s">
        <v>12</v>
      </c>
      <c r="B38">
        <v>29</v>
      </c>
      <c r="C38">
        <v>31</v>
      </c>
      <c r="D38">
        <f t="shared" ref="D38:D41" si="10">AVERAGE(B38:C38)</f>
        <v>30</v>
      </c>
      <c r="E38" s="4">
        <v>10000</v>
      </c>
      <c r="F38" s="4">
        <f>1809.2-1781.7</f>
        <v>27.5</v>
      </c>
      <c r="G38" s="9">
        <f>LOG10(D38*100*E38/F38*1000)</f>
        <v>9.0377885608893997</v>
      </c>
      <c r="H38" s="9"/>
      <c r="K38" s="1"/>
      <c r="L38" s="1"/>
    </row>
    <row r="39" spans="1:14" x14ac:dyDescent="0.2">
      <c r="A39" s="4" t="s">
        <v>9</v>
      </c>
      <c r="B39">
        <v>45</v>
      </c>
      <c r="C39">
        <v>39</v>
      </c>
      <c r="D39">
        <f t="shared" si="10"/>
        <v>42</v>
      </c>
      <c r="E39" s="4">
        <v>1000</v>
      </c>
      <c r="F39" s="4">
        <f>1745.4-1719.2</f>
        <v>26.200000000000045</v>
      </c>
      <c r="G39" s="9">
        <f t="shared" ref="G39:G41" si="11">LOG10(D39*100*E39/F39*1000)</f>
        <v>8.2049479990781542</v>
      </c>
      <c r="H39" s="9"/>
      <c r="K39" s="1"/>
      <c r="L39" s="1"/>
      <c r="N39" s="23"/>
    </row>
    <row r="40" spans="1:14" x14ac:dyDescent="0.2">
      <c r="A40" s="4" t="s">
        <v>14</v>
      </c>
      <c r="B40">
        <v>46</v>
      </c>
      <c r="C40">
        <v>45</v>
      </c>
      <c r="D40">
        <f t="shared" si="10"/>
        <v>45.5</v>
      </c>
      <c r="E40" s="4">
        <v>1000</v>
      </c>
      <c r="F40" s="4">
        <f>1902.8-1792.6</f>
        <v>110.20000000000005</v>
      </c>
      <c r="G40" s="9">
        <f t="shared" si="11"/>
        <v>7.615829802141346</v>
      </c>
      <c r="H40" s="9"/>
      <c r="K40" s="1"/>
      <c r="L40" s="1"/>
    </row>
    <row r="41" spans="1:14" ht="17" x14ac:dyDescent="0.2">
      <c r="A41" s="6" t="s">
        <v>13</v>
      </c>
      <c r="B41" s="7">
        <v>17</v>
      </c>
      <c r="C41" s="7">
        <v>10</v>
      </c>
      <c r="D41">
        <f t="shared" si="10"/>
        <v>13.5</v>
      </c>
      <c r="E41" s="6">
        <v>10</v>
      </c>
      <c r="F41" s="6">
        <f>2138.3-1865.8</f>
        <v>272.50000000000023</v>
      </c>
      <c r="G41" s="9">
        <f t="shared" si="11"/>
        <v>4.6949672618823444</v>
      </c>
      <c r="H41" s="9"/>
      <c r="K41" s="1"/>
      <c r="L41" s="1"/>
    </row>
    <row r="42" spans="1:14" x14ac:dyDescent="0.2">
      <c r="A42" s="4"/>
      <c r="E42" s="4"/>
      <c r="F42" s="4"/>
      <c r="G42" s="9"/>
      <c r="H42" s="9"/>
      <c r="K42" s="1"/>
      <c r="L42" s="1"/>
    </row>
    <row r="43" spans="1:14" ht="51" x14ac:dyDescent="0.2">
      <c r="A43" s="2" t="s">
        <v>44</v>
      </c>
      <c r="B43" s="48" t="s">
        <v>0</v>
      </c>
      <c r="C43" s="48"/>
      <c r="D43" s="6" t="s">
        <v>1</v>
      </c>
      <c r="E43" s="6" t="s">
        <v>4</v>
      </c>
      <c r="F43" s="6" t="s">
        <v>2</v>
      </c>
      <c r="G43" s="8" t="s">
        <v>3</v>
      </c>
      <c r="H43" s="9"/>
    </row>
    <row r="44" spans="1:14" x14ac:dyDescent="0.2">
      <c r="A44" s="4" t="s">
        <v>11</v>
      </c>
      <c r="B44">
        <v>11</v>
      </c>
      <c r="C44">
        <v>14</v>
      </c>
      <c r="D44">
        <f>AVERAGE(B44:C44)</f>
        <v>12.5</v>
      </c>
      <c r="E44" s="4">
        <v>10000</v>
      </c>
      <c r="F44" s="4">
        <f>1815.7-1786.4</f>
        <v>29.299999999999955</v>
      </c>
      <c r="G44" s="9">
        <f>LOG10(D44*100*E44/F44*1000)</f>
        <v>8.630042392653948</v>
      </c>
      <c r="H44" s="9"/>
    </row>
    <row r="45" spans="1:14" x14ac:dyDescent="0.2">
      <c r="A45" s="4" t="s">
        <v>12</v>
      </c>
      <c r="B45">
        <v>27</v>
      </c>
      <c r="C45">
        <v>29</v>
      </c>
      <c r="D45">
        <f t="shared" ref="D45:D48" si="12">AVERAGE(B45:C45)</f>
        <v>28</v>
      </c>
      <c r="E45" s="4">
        <v>10000</v>
      </c>
      <c r="F45" s="4">
        <f>1810.4-1785.2</f>
        <v>25.200000000000045</v>
      </c>
      <c r="G45" s="9">
        <f>LOG10(D45*100*E45/F45*1000)</f>
        <v>9.0457574905606748</v>
      </c>
      <c r="H45" s="9"/>
    </row>
    <row r="46" spans="1:14" x14ac:dyDescent="0.2">
      <c r="A46" s="4" t="s">
        <v>9</v>
      </c>
      <c r="B46">
        <v>20</v>
      </c>
      <c r="C46">
        <v>29</v>
      </c>
      <c r="D46">
        <f t="shared" si="12"/>
        <v>24.5</v>
      </c>
      <c r="E46" s="4">
        <v>1000</v>
      </c>
      <c r="F46" s="4">
        <f>1822.4-1791.5</f>
        <v>30.900000000000091</v>
      </c>
      <c r="G46" s="9">
        <f t="shared" ref="G46:G48" si="13">LOG10(D46*100*E46/F46*1000)</f>
        <v>7.8992076049396962</v>
      </c>
      <c r="H46" s="9"/>
    </row>
    <row r="47" spans="1:14" x14ac:dyDescent="0.2">
      <c r="A47" s="4" t="s">
        <v>14</v>
      </c>
      <c r="B47">
        <v>20</v>
      </c>
      <c r="C47">
        <v>27</v>
      </c>
      <c r="D47">
        <f t="shared" si="12"/>
        <v>23.5</v>
      </c>
      <c r="E47" s="4">
        <v>10</v>
      </c>
      <c r="F47" s="4">
        <f>1972.4-1805.7</f>
        <v>166.70000000000005</v>
      </c>
      <c r="G47" s="9">
        <f t="shared" si="13"/>
        <v>5.1491322624437306</v>
      </c>
      <c r="H47" s="9"/>
    </row>
    <row r="48" spans="1:14" ht="17" x14ac:dyDescent="0.2">
      <c r="A48" s="6" t="s">
        <v>13</v>
      </c>
      <c r="B48" s="7">
        <v>46</v>
      </c>
      <c r="C48" s="7">
        <v>30</v>
      </c>
      <c r="D48">
        <f t="shared" si="12"/>
        <v>38</v>
      </c>
      <c r="E48" s="6">
        <v>10</v>
      </c>
      <c r="F48" s="6">
        <f>1886.6-1732.3</f>
        <v>154.29999999999995</v>
      </c>
      <c r="G48" s="9">
        <f t="shared" si="13"/>
        <v>5.3914176705536621</v>
      </c>
      <c r="H48" s="9"/>
    </row>
    <row r="49" spans="1:8" x14ac:dyDescent="0.2">
      <c r="A49" s="11"/>
      <c r="B49" s="48"/>
      <c r="C49" s="48"/>
      <c r="D49" s="6"/>
      <c r="E49" s="6"/>
      <c r="F49" s="6"/>
      <c r="G49" s="8"/>
      <c r="H49" s="9"/>
    </row>
    <row r="50" spans="1:8" ht="51" x14ac:dyDescent="0.2">
      <c r="A50" s="2" t="s">
        <v>45</v>
      </c>
      <c r="B50" s="48" t="s">
        <v>0</v>
      </c>
      <c r="C50" s="48"/>
      <c r="D50" s="6" t="s">
        <v>1</v>
      </c>
      <c r="E50" s="6" t="s">
        <v>4</v>
      </c>
      <c r="F50" s="6" t="s">
        <v>2</v>
      </c>
      <c r="G50" s="8" t="s">
        <v>3</v>
      </c>
      <c r="H50" s="9"/>
    </row>
    <row r="51" spans="1:8" x14ac:dyDescent="0.2">
      <c r="A51" s="4" t="s">
        <v>11</v>
      </c>
      <c r="B51">
        <v>14</v>
      </c>
      <c r="C51">
        <v>12</v>
      </c>
      <c r="D51">
        <f>AVERAGE(B51:C51)</f>
        <v>13</v>
      </c>
      <c r="E51" s="4">
        <v>100000</v>
      </c>
      <c r="F51" s="4">
        <f>1865.5-1802.4</f>
        <v>63.099999999999909</v>
      </c>
      <c r="G51" s="9">
        <f>LOG10(D51*100*E51/F51*1000)</f>
        <v>9.3139139930627035</v>
      </c>
      <c r="H51" s="9"/>
    </row>
    <row r="52" spans="1:8" x14ac:dyDescent="0.2">
      <c r="A52" s="4" t="s">
        <v>12</v>
      </c>
      <c r="B52">
        <v>56</v>
      </c>
      <c r="C52">
        <v>64</v>
      </c>
      <c r="D52">
        <f t="shared" ref="D52:D55" si="14">AVERAGE(B52:C52)</f>
        <v>60</v>
      </c>
      <c r="E52" s="4">
        <v>1000</v>
      </c>
      <c r="F52" s="4">
        <f>1828.4-1807.1</f>
        <v>21.300000000000182</v>
      </c>
      <c r="G52" s="9">
        <f>LOG10(D52*100*E52/F52*1000)</f>
        <v>8.4497716469449013</v>
      </c>
      <c r="H52" s="9"/>
    </row>
    <row r="53" spans="1:8" x14ac:dyDescent="0.2">
      <c r="A53" s="4" t="s">
        <v>9</v>
      </c>
      <c r="B53">
        <v>59</v>
      </c>
      <c r="C53">
        <v>56</v>
      </c>
      <c r="D53">
        <f t="shared" si="14"/>
        <v>57.5</v>
      </c>
      <c r="E53" s="4">
        <v>1000</v>
      </c>
      <c r="F53" s="4">
        <f>1674.1-1638.4</f>
        <v>35.699999999999818</v>
      </c>
      <c r="G53" s="9">
        <f t="shared" ref="G53:G55" si="15">LOG10(D53*100*E53/F53*1000)</f>
        <v>8.2069996285774387</v>
      </c>
      <c r="H53" s="9"/>
    </row>
    <row r="54" spans="1:8" x14ac:dyDescent="0.2">
      <c r="A54" s="4" t="s">
        <v>53</v>
      </c>
      <c r="D54" t="e">
        <f t="shared" si="14"/>
        <v>#DIV/0!</v>
      </c>
      <c r="E54" s="4"/>
      <c r="F54" s="4">
        <f>1850.3-1723.4</f>
        <v>126.89999999999986</v>
      </c>
      <c r="G54" s="9"/>
      <c r="H54" s="9"/>
    </row>
    <row r="55" spans="1:8" ht="17" x14ac:dyDescent="0.2">
      <c r="A55" s="6" t="s">
        <v>13</v>
      </c>
      <c r="B55" s="7">
        <v>9</v>
      </c>
      <c r="C55" s="7">
        <v>7</v>
      </c>
      <c r="D55">
        <f t="shared" si="14"/>
        <v>8</v>
      </c>
      <c r="E55" s="6">
        <v>1</v>
      </c>
      <c r="F55" s="6">
        <f>1971.7-1870.9</f>
        <v>100.79999999999995</v>
      </c>
      <c r="G55" s="9">
        <f t="shared" si="15"/>
        <v>3.8996294548824375</v>
      </c>
      <c r="H55" s="9"/>
    </row>
    <row r="56" spans="1:8" x14ac:dyDescent="0.2">
      <c r="A56" s="4"/>
      <c r="E56" s="4"/>
      <c r="F56" s="4"/>
      <c r="G56" s="9"/>
      <c r="H56" s="9"/>
    </row>
    <row r="57" spans="1:8" ht="51" x14ac:dyDescent="0.2">
      <c r="A57" s="2" t="s">
        <v>46</v>
      </c>
      <c r="B57" s="48" t="s">
        <v>0</v>
      </c>
      <c r="C57" s="48"/>
      <c r="D57" s="6" t="s">
        <v>1</v>
      </c>
      <c r="E57" s="6" t="s">
        <v>4</v>
      </c>
      <c r="F57" s="6" t="s">
        <v>2</v>
      </c>
      <c r="G57" s="8" t="s">
        <v>3</v>
      </c>
      <c r="H57" s="9"/>
    </row>
    <row r="58" spans="1:8" x14ac:dyDescent="0.2">
      <c r="A58" s="4" t="s">
        <v>11</v>
      </c>
      <c r="B58">
        <v>44</v>
      </c>
      <c r="C58">
        <v>39</v>
      </c>
      <c r="D58">
        <f>AVERAGE(B58:C58)</f>
        <v>41.5</v>
      </c>
      <c r="E58" s="4">
        <v>10000</v>
      </c>
      <c r="F58" s="4">
        <f>1894.7-1853.1</f>
        <v>41.600000000000136</v>
      </c>
      <c r="G58" s="9">
        <f>LOG10(D58*100*E58/F58*1000)</f>
        <v>8.9989547660853493</v>
      </c>
      <c r="H58" s="9"/>
    </row>
    <row r="59" spans="1:8" x14ac:dyDescent="0.2">
      <c r="A59" s="4" t="s">
        <v>12</v>
      </c>
      <c r="B59">
        <v>11</v>
      </c>
      <c r="C59">
        <v>7</v>
      </c>
      <c r="D59">
        <f t="shared" ref="D59:D62" si="16">AVERAGE(B59:C59)</f>
        <v>9</v>
      </c>
      <c r="E59" s="4">
        <v>100000</v>
      </c>
      <c r="F59" s="4">
        <f>1839.5-1795.6</f>
        <v>43.900000000000091</v>
      </c>
      <c r="G59" s="9">
        <f>LOG10(D59*100*E59/F59*1000)</f>
        <v>9.3117779891972035</v>
      </c>
      <c r="H59" s="9"/>
    </row>
    <row r="60" spans="1:8" x14ac:dyDescent="0.2">
      <c r="A60" s="4" t="s">
        <v>9</v>
      </c>
      <c r="B60">
        <v>18</v>
      </c>
      <c r="C60">
        <v>38</v>
      </c>
      <c r="D60">
        <f t="shared" si="16"/>
        <v>28</v>
      </c>
      <c r="E60" s="4">
        <v>10000</v>
      </c>
      <c r="F60" s="4">
        <f>1817.7-1792.6</f>
        <v>25.100000000000136</v>
      </c>
      <c r="G60" s="9">
        <f t="shared" ref="G60:G62" si="17">LOG10(D60*100*E60/F60*1000)</f>
        <v>9.0474843098611792</v>
      </c>
      <c r="H60" s="9"/>
    </row>
    <row r="61" spans="1:8" x14ac:dyDescent="0.2">
      <c r="A61" s="4" t="s">
        <v>14</v>
      </c>
      <c r="B61">
        <v>41</v>
      </c>
      <c r="C61">
        <v>37</v>
      </c>
      <c r="D61">
        <f t="shared" si="16"/>
        <v>39</v>
      </c>
      <c r="E61" s="4">
        <v>1000</v>
      </c>
      <c r="F61" s="4">
        <f>1861.9-1800.5</f>
        <v>61.400000000000091</v>
      </c>
      <c r="G61" s="9">
        <f t="shared" si="17"/>
        <v>7.8028962358853304</v>
      </c>
      <c r="H61" s="9"/>
    </row>
    <row r="62" spans="1:8" ht="17" x14ac:dyDescent="0.2">
      <c r="A62" s="6" t="s">
        <v>13</v>
      </c>
      <c r="B62" s="7">
        <v>44</v>
      </c>
      <c r="C62" s="7">
        <v>27</v>
      </c>
      <c r="D62">
        <f t="shared" si="16"/>
        <v>35.5</v>
      </c>
      <c r="E62" s="6">
        <v>1</v>
      </c>
      <c r="F62" s="6">
        <f>2070.9-1882.5</f>
        <v>188.40000000000009</v>
      </c>
      <c r="G62" s="9">
        <f t="shared" si="17"/>
        <v>4.2751474545982351</v>
      </c>
      <c r="H62" s="9"/>
    </row>
    <row r="63" spans="1:8" x14ac:dyDescent="0.2">
      <c r="A63" s="4"/>
      <c r="E63" s="4"/>
      <c r="F63" s="4"/>
      <c r="G63" s="9"/>
      <c r="H63" s="9"/>
    </row>
    <row r="64" spans="1:8" ht="51" x14ac:dyDescent="0.2">
      <c r="A64" s="11" t="s">
        <v>47</v>
      </c>
      <c r="B64" s="48" t="s">
        <v>0</v>
      </c>
      <c r="C64" s="48"/>
      <c r="D64" s="6" t="s">
        <v>1</v>
      </c>
      <c r="E64" s="6" t="s">
        <v>4</v>
      </c>
      <c r="F64" s="6" t="s">
        <v>2</v>
      </c>
      <c r="G64" s="8" t="s">
        <v>3</v>
      </c>
      <c r="H64" s="8"/>
    </row>
    <row r="65" spans="1:8" x14ac:dyDescent="0.2">
      <c r="A65" s="4" t="s">
        <v>11</v>
      </c>
      <c r="B65">
        <v>48</v>
      </c>
      <c r="C65">
        <v>44</v>
      </c>
      <c r="D65">
        <f>AVERAGE(B65:C65)</f>
        <v>46</v>
      </c>
      <c r="E65" s="4">
        <v>100</v>
      </c>
      <c r="F65" s="4">
        <f>1746.4-1721.9</f>
        <v>24.5</v>
      </c>
      <c r="G65" s="9">
        <f>LOG10(D65*100*E65/F65*1000)</f>
        <v>7.2735917473170417</v>
      </c>
      <c r="H65" s="9"/>
    </row>
    <row r="66" spans="1:8" x14ac:dyDescent="0.2">
      <c r="A66" s="4" t="s">
        <v>12</v>
      </c>
      <c r="B66">
        <v>11</v>
      </c>
      <c r="C66">
        <v>17</v>
      </c>
      <c r="D66">
        <f t="shared" ref="D66:D69" si="18">AVERAGE(B66:C66)</f>
        <v>14</v>
      </c>
      <c r="E66" s="4">
        <v>1000</v>
      </c>
      <c r="F66" s="4">
        <f>1812.9-1792.1</f>
        <v>20.800000000000182</v>
      </c>
      <c r="G66" s="9">
        <f>LOG10(D66*100*E66/F66*1000)</f>
        <v>7.8280647007154727</v>
      </c>
      <c r="H66" s="9"/>
    </row>
    <row r="67" spans="1:8" x14ac:dyDescent="0.2">
      <c r="A67" s="4" t="s">
        <v>9</v>
      </c>
      <c r="B67">
        <v>30</v>
      </c>
      <c r="C67">
        <v>35</v>
      </c>
      <c r="D67">
        <f t="shared" si="18"/>
        <v>32.5</v>
      </c>
      <c r="E67" s="4">
        <v>1000</v>
      </c>
      <c r="F67" s="4">
        <f>1764.7-1716.3</f>
        <v>48.400000000000091</v>
      </c>
      <c r="G67" s="9">
        <f t="shared" ref="G67:G69" si="19">LOG10(D67*100*E67/F67*1000)</f>
        <v>7.8270379993344612</v>
      </c>
      <c r="H67" s="9"/>
    </row>
    <row r="68" spans="1:8" x14ac:dyDescent="0.2">
      <c r="A68" s="4" t="s">
        <v>53</v>
      </c>
      <c r="D68" t="e">
        <f t="shared" si="18"/>
        <v>#DIV/0!</v>
      </c>
      <c r="E68" s="4"/>
      <c r="F68" s="4">
        <f>1868.2-1732.3</f>
        <v>135.90000000000009</v>
      </c>
      <c r="G68" s="9"/>
      <c r="H68" s="9"/>
    </row>
    <row r="69" spans="1:8" ht="17" x14ac:dyDescent="0.2">
      <c r="A69" s="6" t="s">
        <v>13</v>
      </c>
      <c r="B69" s="7">
        <v>12</v>
      </c>
      <c r="C69" s="7">
        <v>23</v>
      </c>
      <c r="D69">
        <f t="shared" si="18"/>
        <v>17.5</v>
      </c>
      <c r="E69" s="6">
        <v>100</v>
      </c>
      <c r="F69" s="6">
        <f>1892.9-1725.8</f>
        <v>167.10000000000014</v>
      </c>
      <c r="G69" s="9">
        <f t="shared" si="19"/>
        <v>6.0200615987929025</v>
      </c>
      <c r="H69" s="9"/>
    </row>
    <row r="70" spans="1:8" s="19" customFormat="1" x14ac:dyDescent="0.2">
      <c r="A70" s="18"/>
      <c r="E70" s="18"/>
      <c r="F70" s="18"/>
      <c r="G70" s="20"/>
      <c r="H70" s="20"/>
    </row>
    <row r="71" spans="1:8" ht="51" x14ac:dyDescent="0.2">
      <c r="A71" s="11" t="s">
        <v>48</v>
      </c>
      <c r="B71" s="48" t="s">
        <v>0</v>
      </c>
      <c r="C71" s="48"/>
      <c r="D71" s="6" t="s">
        <v>1</v>
      </c>
      <c r="E71" s="6" t="s">
        <v>4</v>
      </c>
      <c r="F71" s="6" t="s">
        <v>2</v>
      </c>
      <c r="G71" s="8" t="s">
        <v>3</v>
      </c>
      <c r="H71" s="9"/>
    </row>
    <row r="72" spans="1:8" x14ac:dyDescent="0.2">
      <c r="A72" s="4" t="s">
        <v>11</v>
      </c>
      <c r="B72">
        <v>14</v>
      </c>
      <c r="C72">
        <v>13</v>
      </c>
      <c r="D72">
        <f>AVERAGE(B72:C72)</f>
        <v>13.5</v>
      </c>
      <c r="E72" s="4">
        <v>10000</v>
      </c>
      <c r="F72" s="4">
        <f>1775.8-1724.3</f>
        <v>51.5</v>
      </c>
      <c r="G72" s="9">
        <f>LOG10(D72*100*E72/F72*1000)</f>
        <v>8.4185265394538149</v>
      </c>
      <c r="H72" s="9"/>
    </row>
    <row r="73" spans="1:8" x14ac:dyDescent="0.2">
      <c r="A73" s="4" t="s">
        <v>12</v>
      </c>
      <c r="B73">
        <v>22</v>
      </c>
      <c r="C73">
        <v>19</v>
      </c>
      <c r="D73">
        <f t="shared" ref="D73:D76" si="20">AVERAGE(B73:C73)</f>
        <v>20.5</v>
      </c>
      <c r="E73" s="4">
        <v>10000</v>
      </c>
      <c r="F73" s="4">
        <f>1830.1-1796.7</f>
        <v>33.399999999999864</v>
      </c>
      <c r="G73" s="9">
        <f>LOG10(D73*100*E73/F73*1000)</f>
        <v>8.7880073942441914</v>
      </c>
      <c r="H73" s="9"/>
    </row>
    <row r="74" spans="1:8" x14ac:dyDescent="0.2">
      <c r="A74" s="4" t="s">
        <v>9</v>
      </c>
      <c r="B74">
        <v>11</v>
      </c>
      <c r="C74">
        <v>16</v>
      </c>
      <c r="D74">
        <f t="shared" si="20"/>
        <v>13.5</v>
      </c>
      <c r="E74" s="4">
        <v>10000</v>
      </c>
      <c r="F74" s="4">
        <f>1893.2-1873.3</f>
        <v>19.900000000000091</v>
      </c>
      <c r="G74" s="9">
        <f t="shared" ref="G74:G76" si="21">LOG10(D74*100*E74/F74*1000)</f>
        <v>8.8314806920852966</v>
      </c>
      <c r="H74" s="9"/>
    </row>
    <row r="75" spans="1:8" x14ac:dyDescent="0.2">
      <c r="A75" s="4" t="s">
        <v>14</v>
      </c>
      <c r="B75">
        <v>51</v>
      </c>
      <c r="C75">
        <v>61</v>
      </c>
      <c r="D75">
        <f t="shared" si="20"/>
        <v>56</v>
      </c>
      <c r="E75" s="4">
        <v>1000</v>
      </c>
      <c r="F75" s="4">
        <f>1811.6-1722.6</f>
        <v>89</v>
      </c>
      <c r="G75" s="9">
        <f t="shared" si="21"/>
        <v>7.7987980203612874</v>
      </c>
      <c r="H75" s="9"/>
    </row>
    <row r="76" spans="1:8" ht="17" x14ac:dyDescent="0.2">
      <c r="A76" s="6" t="s">
        <v>13</v>
      </c>
      <c r="B76" s="7">
        <v>11</v>
      </c>
      <c r="C76" s="7">
        <v>12</v>
      </c>
      <c r="D76">
        <f t="shared" si="20"/>
        <v>11.5</v>
      </c>
      <c r="E76" s="6">
        <v>10</v>
      </c>
      <c r="F76" s="6">
        <f>1852.7-1801.3</f>
        <v>51.400000000000091</v>
      </c>
      <c r="G76" s="9">
        <f t="shared" si="21"/>
        <v>5.3497347213583355</v>
      </c>
      <c r="H76" s="9"/>
    </row>
    <row r="77" spans="1:8" x14ac:dyDescent="0.2">
      <c r="A77" s="11"/>
      <c r="B77" s="48"/>
      <c r="C77" s="48"/>
      <c r="D77" s="6"/>
      <c r="E77" s="6"/>
      <c r="F77" s="6"/>
      <c r="G77" s="8"/>
      <c r="H77" s="9"/>
    </row>
    <row r="78" spans="1:8" ht="51" x14ac:dyDescent="0.2">
      <c r="A78" s="2" t="s">
        <v>49</v>
      </c>
      <c r="B78" s="48" t="s">
        <v>0</v>
      </c>
      <c r="C78" s="48"/>
      <c r="D78" s="6" t="s">
        <v>1</v>
      </c>
      <c r="E78" s="6" t="s">
        <v>4</v>
      </c>
      <c r="F78" s="6" t="s">
        <v>2</v>
      </c>
      <c r="G78" s="8" t="s">
        <v>3</v>
      </c>
      <c r="H78" s="9"/>
    </row>
    <row r="79" spans="1:8" x14ac:dyDescent="0.2">
      <c r="A79" s="4" t="s">
        <v>11</v>
      </c>
      <c r="B79">
        <v>10</v>
      </c>
      <c r="C79">
        <v>8</v>
      </c>
      <c r="D79">
        <f>AVERAGE(B79:C79)</f>
        <v>9</v>
      </c>
      <c r="E79" s="4">
        <v>10000</v>
      </c>
      <c r="F79" s="4">
        <f>1746.8-1724.8</f>
        <v>22</v>
      </c>
      <c r="G79" s="9">
        <f>LOG10(D79*100*E79/F79*1000)</f>
        <v>8.6118198286171186</v>
      </c>
      <c r="H79" s="9"/>
    </row>
    <row r="80" spans="1:8" x14ac:dyDescent="0.2">
      <c r="A80" s="4" t="s">
        <v>12</v>
      </c>
      <c r="B80">
        <v>54</v>
      </c>
      <c r="C80">
        <v>45</v>
      </c>
      <c r="D80">
        <f t="shared" ref="D80:D83" si="22">AVERAGE(B80:C80)</f>
        <v>49.5</v>
      </c>
      <c r="E80" s="4">
        <v>1000</v>
      </c>
      <c r="F80" s="4">
        <f>1878.7-1854.3</f>
        <v>24.400000000000091</v>
      </c>
      <c r="G80" s="9">
        <f>LOG10(D80*100*E80/F80*1000)</f>
        <v>8.3072153725948379</v>
      </c>
      <c r="H80" s="9"/>
    </row>
    <row r="81" spans="1:8" x14ac:dyDescent="0.2">
      <c r="A81" s="4" t="s">
        <v>9</v>
      </c>
      <c r="B81">
        <v>23</v>
      </c>
      <c r="C81">
        <v>30</v>
      </c>
      <c r="D81">
        <f t="shared" si="22"/>
        <v>26.5</v>
      </c>
      <c r="E81" s="4">
        <v>1000</v>
      </c>
      <c r="F81" s="4">
        <f>1740.6-1705.3</f>
        <v>35.299999999999955</v>
      </c>
      <c r="G81" s="9">
        <f t="shared" ref="G81:G83" si="23">LOG10(D81*100*E81/F81*1000)</f>
        <v>7.8754711685489855</v>
      </c>
      <c r="H81" s="9"/>
    </row>
    <row r="82" spans="1:8" x14ac:dyDescent="0.2">
      <c r="A82" s="4" t="s">
        <v>14</v>
      </c>
      <c r="B82">
        <v>41</v>
      </c>
      <c r="C82">
        <v>43</v>
      </c>
      <c r="D82">
        <f t="shared" si="22"/>
        <v>42</v>
      </c>
      <c r="E82" s="4">
        <v>10</v>
      </c>
      <c r="F82" s="4">
        <f>1901.7-1803.5</f>
        <v>98.200000000000045</v>
      </c>
      <c r="G82" s="9">
        <f t="shared" si="23"/>
        <v>5.6311378026109509</v>
      </c>
      <c r="H82" s="9"/>
    </row>
    <row r="83" spans="1:8" ht="17" x14ac:dyDescent="0.2">
      <c r="A83" s="6" t="s">
        <v>13</v>
      </c>
      <c r="B83" s="7">
        <v>3</v>
      </c>
      <c r="C83" s="7">
        <v>5</v>
      </c>
      <c r="D83">
        <f t="shared" si="22"/>
        <v>4</v>
      </c>
      <c r="E83" s="6">
        <v>1</v>
      </c>
      <c r="F83" s="6">
        <f>1921.4-1801.5</f>
        <v>119.90000000000009</v>
      </c>
      <c r="G83" s="9">
        <f t="shared" si="23"/>
        <v>3.5232408082291133</v>
      </c>
      <c r="H83" s="9"/>
    </row>
    <row r="84" spans="1:8" x14ac:dyDescent="0.2">
      <c r="A84" s="4"/>
      <c r="E84" s="4"/>
      <c r="F84" s="4"/>
      <c r="G84" s="9"/>
      <c r="H84" s="9"/>
    </row>
    <row r="85" spans="1:8" ht="51" x14ac:dyDescent="0.2">
      <c r="A85" s="2" t="s">
        <v>50</v>
      </c>
      <c r="B85" s="48" t="s">
        <v>0</v>
      </c>
      <c r="C85" s="48"/>
      <c r="D85" s="6" t="s">
        <v>1</v>
      </c>
      <c r="E85" s="6" t="s">
        <v>4</v>
      </c>
      <c r="F85" s="6" t="s">
        <v>2</v>
      </c>
      <c r="G85" s="8" t="s">
        <v>3</v>
      </c>
      <c r="H85" s="9"/>
    </row>
    <row r="86" spans="1:8" x14ac:dyDescent="0.2">
      <c r="A86" s="4" t="s">
        <v>11</v>
      </c>
      <c r="B86">
        <v>8</v>
      </c>
      <c r="C86">
        <v>10</v>
      </c>
      <c r="D86">
        <f>AVERAGE(B86:C86)</f>
        <v>9</v>
      </c>
      <c r="E86" s="4">
        <v>10000</v>
      </c>
      <c r="F86" s="4">
        <f>1783.8-1721.5</f>
        <v>62.299999999999955</v>
      </c>
      <c r="G86" s="9">
        <f>LOG10(D86*100*E86/F86*1000)</f>
        <v>8.159754462780155</v>
      </c>
      <c r="H86" s="9"/>
    </row>
    <row r="87" spans="1:8" x14ac:dyDescent="0.2">
      <c r="A87" s="4" t="s">
        <v>12</v>
      </c>
      <c r="B87">
        <v>35</v>
      </c>
      <c r="C87">
        <v>37</v>
      </c>
      <c r="D87">
        <f t="shared" ref="D87:D90" si="24">AVERAGE(B87:C87)</f>
        <v>36</v>
      </c>
      <c r="E87" s="4">
        <v>1000</v>
      </c>
      <c r="F87" s="4">
        <f>1759-1740.4</f>
        <v>18.599999999999909</v>
      </c>
      <c r="G87" s="9">
        <f>LOG10(D87*100*E87/F87*1000)</f>
        <v>8.2867895565493725</v>
      </c>
      <c r="H87" s="9"/>
    </row>
    <row r="88" spans="1:8" x14ac:dyDescent="0.2">
      <c r="A88" s="4" t="s">
        <v>9</v>
      </c>
      <c r="B88">
        <v>10</v>
      </c>
      <c r="C88">
        <v>15</v>
      </c>
      <c r="D88">
        <f t="shared" si="24"/>
        <v>12.5</v>
      </c>
      <c r="E88" s="4">
        <v>10000</v>
      </c>
      <c r="F88" s="4">
        <f>1656.3-1638.9</f>
        <v>17.399999999999864</v>
      </c>
      <c r="G88" s="9">
        <f t="shared" ref="G88:G90" si="25">LOG10(D88*100*E88/F88*1000)</f>
        <v>8.8563607647254603</v>
      </c>
      <c r="H88" s="9"/>
    </row>
    <row r="89" spans="1:8" x14ac:dyDescent="0.2">
      <c r="A89" s="4" t="s">
        <v>14</v>
      </c>
      <c r="B89">
        <v>15</v>
      </c>
      <c r="C89">
        <v>19</v>
      </c>
      <c r="D89">
        <f t="shared" si="24"/>
        <v>17</v>
      </c>
      <c r="E89" s="4">
        <v>1000</v>
      </c>
      <c r="F89" s="4">
        <f>1774.2-1724.9</f>
        <v>49.299999999999955</v>
      </c>
      <c r="G89" s="9">
        <f t="shared" si="25"/>
        <v>7.5376020021010444</v>
      </c>
      <c r="H89" s="9"/>
    </row>
    <row r="90" spans="1:8" ht="17" x14ac:dyDescent="0.2">
      <c r="A90" s="6" t="s">
        <v>13</v>
      </c>
      <c r="B90" s="7">
        <v>16</v>
      </c>
      <c r="C90" s="7">
        <v>23</v>
      </c>
      <c r="D90">
        <f t="shared" si="24"/>
        <v>19.5</v>
      </c>
      <c r="E90" s="6">
        <v>100</v>
      </c>
      <c r="F90" s="6">
        <f>1752.5-1708.3</f>
        <v>44.200000000000045</v>
      </c>
      <c r="G90" s="9">
        <f t="shared" si="25"/>
        <v>6.644612342013426</v>
      </c>
      <c r="H90" s="9"/>
    </row>
    <row r="91" spans="1:8" x14ac:dyDescent="0.2">
      <c r="A91" s="4"/>
      <c r="E91" s="4"/>
      <c r="F91" s="4"/>
      <c r="G91" s="9"/>
      <c r="H91" s="9"/>
    </row>
    <row r="92" spans="1:8" ht="51" x14ac:dyDescent="0.2">
      <c r="A92" s="2" t="s">
        <v>51</v>
      </c>
      <c r="B92" s="48" t="s">
        <v>0</v>
      </c>
      <c r="C92" s="48"/>
      <c r="D92" s="6" t="s">
        <v>1</v>
      </c>
      <c r="E92" s="6" t="s">
        <v>4</v>
      </c>
      <c r="F92" s="6" t="s">
        <v>2</v>
      </c>
      <c r="G92" s="8" t="s">
        <v>3</v>
      </c>
      <c r="H92" s="9"/>
    </row>
    <row r="93" spans="1:8" x14ac:dyDescent="0.2">
      <c r="A93" s="4" t="s">
        <v>11</v>
      </c>
      <c r="B93">
        <v>55</v>
      </c>
      <c r="C93">
        <v>46</v>
      </c>
      <c r="D93">
        <f>AVERAGE(B93:C93)</f>
        <v>50.5</v>
      </c>
      <c r="E93" s="4">
        <v>1000</v>
      </c>
      <c r="F93" s="4">
        <f>1727.5-1713</f>
        <v>14.5</v>
      </c>
      <c r="G93" s="9">
        <f>LOG10(D93*100*E93/F93*1000)</f>
        <v>8.5419233758836857</v>
      </c>
      <c r="H93" s="9"/>
    </row>
    <row r="94" spans="1:8" x14ac:dyDescent="0.2">
      <c r="A94" s="4" t="s">
        <v>54</v>
      </c>
      <c r="D94" t="e">
        <f t="shared" ref="D94:D97" si="26">AVERAGE(B94:C94)</f>
        <v>#DIV/0!</v>
      </c>
      <c r="E94" s="4"/>
      <c r="F94" s="4"/>
      <c r="G94" s="9"/>
      <c r="H94" s="9"/>
    </row>
    <row r="95" spans="1:8" ht="16" customHeight="1" x14ac:dyDescent="0.2">
      <c r="A95" s="4" t="s">
        <v>9</v>
      </c>
      <c r="B95">
        <v>25</v>
      </c>
      <c r="C95">
        <v>32</v>
      </c>
      <c r="D95">
        <f t="shared" si="26"/>
        <v>28.5</v>
      </c>
      <c r="E95" s="4">
        <v>10000</v>
      </c>
      <c r="F95" s="4">
        <f>1749.7-1724.2</f>
        <v>25.5</v>
      </c>
      <c r="G95" s="9">
        <f t="shared" ref="G95:G97" si="27">LOG10(D95*100*E95/F95*1000)</f>
        <v>9.0483046795745548</v>
      </c>
      <c r="H95" s="8"/>
    </row>
    <row r="96" spans="1:8" x14ac:dyDescent="0.2">
      <c r="A96" s="4" t="s">
        <v>14</v>
      </c>
      <c r="B96">
        <v>48</v>
      </c>
      <c r="C96">
        <v>55</v>
      </c>
      <c r="D96">
        <f t="shared" si="26"/>
        <v>51.5</v>
      </c>
      <c r="E96" s="4">
        <v>1000</v>
      </c>
      <c r="F96" s="4">
        <f>1757.7-1722.9</f>
        <v>34.799999999999955</v>
      </c>
      <c r="G96" s="9">
        <f t="shared" si="27"/>
        <v>8.1702279850946109</v>
      </c>
      <c r="H96" s="9"/>
    </row>
    <row r="97" spans="1:10" ht="17" x14ac:dyDescent="0.2">
      <c r="A97" s="6" t="s">
        <v>13</v>
      </c>
      <c r="B97" s="7">
        <v>8</v>
      </c>
      <c r="C97" s="7">
        <v>4</v>
      </c>
      <c r="D97">
        <f t="shared" si="26"/>
        <v>6</v>
      </c>
      <c r="E97" s="6">
        <v>1</v>
      </c>
      <c r="F97" s="6">
        <f>1922-1887.1</f>
        <v>34.900000000000091</v>
      </c>
      <c r="G97" s="9">
        <f t="shared" si="27"/>
        <v>4.2353258234244624</v>
      </c>
      <c r="H97" s="9"/>
      <c r="J97" t="s">
        <v>15</v>
      </c>
    </row>
    <row r="98" spans="1:10" x14ac:dyDescent="0.2">
      <c r="A98" s="4"/>
      <c r="E98" s="4"/>
      <c r="F98" s="4"/>
      <c r="G98" s="9"/>
      <c r="H98" s="9"/>
    </row>
    <row r="99" spans="1:10" ht="51" x14ac:dyDescent="0.2">
      <c r="A99" s="2" t="s">
        <v>52</v>
      </c>
      <c r="B99" s="48" t="s">
        <v>0</v>
      </c>
      <c r="C99" s="48"/>
      <c r="D99" s="6" t="s">
        <v>1</v>
      </c>
      <c r="E99" s="6" t="s">
        <v>4</v>
      </c>
      <c r="F99" s="6" t="s">
        <v>2</v>
      </c>
      <c r="G99" s="8" t="s">
        <v>3</v>
      </c>
      <c r="H99" s="9"/>
    </row>
    <row r="100" spans="1:10" x14ac:dyDescent="0.2">
      <c r="A100" s="4" t="s">
        <v>11</v>
      </c>
      <c r="B100">
        <v>22</v>
      </c>
      <c r="C100">
        <v>12</v>
      </c>
      <c r="D100">
        <f>AVERAGE(B100:C100)</f>
        <v>17</v>
      </c>
      <c r="E100" s="4">
        <v>10000</v>
      </c>
      <c r="F100" s="4">
        <f>1754.1-1717.3</f>
        <v>36.799999999999955</v>
      </c>
      <c r="G100" s="9">
        <f>LOG10(D100*100*E100/F100*1000)</f>
        <v>8.664601102704756</v>
      </c>
      <c r="H100" s="9"/>
    </row>
    <row r="101" spans="1:10" x14ac:dyDescent="0.2">
      <c r="A101" s="4" t="s">
        <v>12</v>
      </c>
      <c r="B101">
        <v>8</v>
      </c>
      <c r="C101">
        <v>17</v>
      </c>
      <c r="D101">
        <f t="shared" ref="D101:D104" si="28">AVERAGE(B101:C101)</f>
        <v>12.5</v>
      </c>
      <c r="E101" s="4">
        <v>10000</v>
      </c>
      <c r="F101" s="4">
        <f>1740.4-1719.2</f>
        <v>21.200000000000045</v>
      </c>
      <c r="G101" s="9">
        <f>LOG10(D101*100*E101/F101*1000)</f>
        <v>8.7705741520793037</v>
      </c>
      <c r="H101" s="9"/>
    </row>
    <row r="102" spans="1:10" x14ac:dyDescent="0.2">
      <c r="A102" s="4" t="s">
        <v>9</v>
      </c>
      <c r="B102">
        <v>28</v>
      </c>
      <c r="C102">
        <v>38</v>
      </c>
      <c r="D102">
        <f t="shared" si="28"/>
        <v>33</v>
      </c>
      <c r="E102" s="4">
        <v>1000</v>
      </c>
      <c r="F102" s="4">
        <f>1741.6-1719.1</f>
        <v>22.5</v>
      </c>
      <c r="G102" s="9">
        <f t="shared" ref="G102:G104" si="29">LOG10(D102*100*E102/F102*1000)</f>
        <v>8.1663314217665253</v>
      </c>
      <c r="H102" s="9"/>
    </row>
    <row r="103" spans="1:10" x14ac:dyDescent="0.2">
      <c r="A103" s="4" t="s">
        <v>14</v>
      </c>
      <c r="B103">
        <v>12</v>
      </c>
      <c r="C103">
        <v>11</v>
      </c>
      <c r="D103">
        <f t="shared" si="28"/>
        <v>11.5</v>
      </c>
      <c r="E103" s="4">
        <v>100</v>
      </c>
      <c r="F103" s="4">
        <f>1777-1736</f>
        <v>41</v>
      </c>
      <c r="G103" s="9">
        <f t="shared" si="29"/>
        <v>6.4479139836338764</v>
      </c>
      <c r="H103" s="9"/>
    </row>
    <row r="104" spans="1:10" ht="17" x14ac:dyDescent="0.2">
      <c r="A104" s="6" t="s">
        <v>13</v>
      </c>
      <c r="B104" s="7">
        <v>7</v>
      </c>
      <c r="C104" s="7">
        <v>4</v>
      </c>
      <c r="D104">
        <f t="shared" si="28"/>
        <v>5.5</v>
      </c>
      <c r="E104" s="6">
        <v>1</v>
      </c>
      <c r="F104" s="6">
        <f>1751.1-1652.3</f>
        <v>98.799999999999955</v>
      </c>
      <c r="G104" s="9">
        <f t="shared" si="29"/>
        <v>3.7456057449066158</v>
      </c>
      <c r="H104" s="9"/>
    </row>
    <row r="105" spans="1:10" s="19" customFormat="1" x14ac:dyDescent="0.2">
      <c r="A105" s="21"/>
      <c r="B105" s="22"/>
      <c r="C105" s="22"/>
      <c r="E105" s="21"/>
      <c r="F105" s="21"/>
      <c r="G105" s="20"/>
      <c r="H105" s="20"/>
    </row>
    <row r="106" spans="1:10" x14ac:dyDescent="0.2">
      <c r="A106" s="2"/>
      <c r="B106" s="48"/>
      <c r="C106" s="48"/>
      <c r="D106" s="6"/>
      <c r="E106" s="6"/>
      <c r="F106" s="6"/>
      <c r="G106" s="8"/>
      <c r="H106" s="9"/>
    </row>
    <row r="107" spans="1:10" x14ac:dyDescent="0.2">
      <c r="A107" s="4"/>
      <c r="E107" s="4"/>
      <c r="F107" s="4"/>
      <c r="G107" s="9"/>
      <c r="H107" s="9"/>
    </row>
    <row r="108" spans="1:10" x14ac:dyDescent="0.2">
      <c r="A108" s="4"/>
      <c r="E108" s="4"/>
      <c r="F108" s="4"/>
      <c r="G108" s="9"/>
      <c r="H108" s="9"/>
    </row>
    <row r="109" spans="1:10" x14ac:dyDescent="0.2">
      <c r="A109" s="4"/>
      <c r="E109" s="4"/>
      <c r="F109" s="4"/>
      <c r="G109" s="9"/>
      <c r="H109" s="9"/>
    </row>
    <row r="110" spans="1:10" x14ac:dyDescent="0.2">
      <c r="A110" s="4"/>
      <c r="E110" s="4"/>
      <c r="F110" s="4"/>
      <c r="G110" s="9"/>
      <c r="H110" s="9"/>
    </row>
    <row r="111" spans="1:10" x14ac:dyDescent="0.2">
      <c r="A111" s="6"/>
      <c r="B111" s="7"/>
      <c r="C111" s="7"/>
      <c r="E111" s="6"/>
      <c r="F111" s="6"/>
      <c r="G111" s="9"/>
      <c r="H111" s="9"/>
    </row>
    <row r="112" spans="1:10" x14ac:dyDescent="0.2">
      <c r="A112" s="4"/>
      <c r="E112" s="4"/>
      <c r="F112" s="4"/>
      <c r="G112" s="9"/>
      <c r="H112" s="9"/>
    </row>
    <row r="113" spans="1:8" x14ac:dyDescent="0.2">
      <c r="A113" s="2"/>
      <c r="B113" s="48"/>
      <c r="C113" s="48"/>
      <c r="D113" s="6"/>
      <c r="E113" s="6"/>
      <c r="F113" s="6"/>
      <c r="G113" s="8"/>
      <c r="H113" s="9"/>
    </row>
    <row r="114" spans="1:8" x14ac:dyDescent="0.2">
      <c r="A114" s="4"/>
      <c r="E114" s="4"/>
      <c r="F114" s="4"/>
      <c r="G114" s="9"/>
      <c r="H114" s="9"/>
    </row>
    <row r="115" spans="1:8" x14ac:dyDescent="0.2">
      <c r="A115" s="4"/>
      <c r="E115" s="4"/>
      <c r="F115" s="4"/>
      <c r="G115" s="9"/>
      <c r="H115" s="9"/>
    </row>
    <row r="116" spans="1:8" x14ac:dyDescent="0.2">
      <c r="A116" s="4"/>
      <c r="E116" s="4"/>
      <c r="F116" s="4"/>
      <c r="G116" s="9"/>
      <c r="H116" s="9"/>
    </row>
    <row r="117" spans="1:8" x14ac:dyDescent="0.2">
      <c r="A117" s="4"/>
      <c r="E117" s="4"/>
      <c r="F117" s="4"/>
      <c r="G117" s="9"/>
      <c r="H117" s="9"/>
    </row>
    <row r="118" spans="1:8" x14ac:dyDescent="0.2">
      <c r="A118" s="6"/>
      <c r="B118" s="7"/>
      <c r="C118" s="7"/>
      <c r="E118" s="6"/>
      <c r="F118" s="6"/>
      <c r="G118" s="9"/>
      <c r="H118" s="9"/>
    </row>
    <row r="119" spans="1:8" x14ac:dyDescent="0.2">
      <c r="A119" s="4"/>
      <c r="E119" s="4"/>
      <c r="F119" s="4"/>
      <c r="G119" s="9"/>
      <c r="H119" s="9"/>
    </row>
    <row r="120" spans="1:8" x14ac:dyDescent="0.2">
      <c r="A120" s="2"/>
      <c r="B120" s="48"/>
      <c r="C120" s="48"/>
      <c r="D120" s="6"/>
      <c r="E120" s="6"/>
      <c r="F120" s="6"/>
      <c r="G120" s="8"/>
      <c r="H120" s="9"/>
    </row>
    <row r="121" spans="1:8" x14ac:dyDescent="0.2">
      <c r="A121" s="4"/>
      <c r="E121" s="4"/>
      <c r="F121" s="4"/>
      <c r="G121" s="9"/>
      <c r="H121" s="9"/>
    </row>
    <row r="122" spans="1:8" x14ac:dyDescent="0.2">
      <c r="A122" s="4"/>
      <c r="E122" s="4"/>
      <c r="F122" s="4"/>
      <c r="G122" s="9"/>
      <c r="H122" s="9"/>
    </row>
    <row r="123" spans="1:8" x14ac:dyDescent="0.2">
      <c r="A123" s="4"/>
      <c r="E123" s="4"/>
      <c r="F123" s="4"/>
      <c r="G123" s="9"/>
      <c r="H123" s="9"/>
    </row>
    <row r="124" spans="1:8" x14ac:dyDescent="0.2">
      <c r="A124" s="4"/>
      <c r="E124" s="4"/>
      <c r="F124" s="4"/>
      <c r="G124" s="9"/>
      <c r="H124" s="9"/>
    </row>
    <row r="125" spans="1:8" x14ac:dyDescent="0.2">
      <c r="A125" s="6"/>
      <c r="B125" s="7"/>
      <c r="C125" s="7"/>
      <c r="E125" s="6"/>
      <c r="F125" s="6"/>
      <c r="G125" s="9"/>
      <c r="H125" s="9"/>
    </row>
    <row r="126" spans="1:8" x14ac:dyDescent="0.2">
      <c r="A126" s="4"/>
      <c r="E126" s="4"/>
      <c r="F126" s="4"/>
      <c r="G126" s="9"/>
      <c r="H126" s="9"/>
    </row>
    <row r="127" spans="1:8" x14ac:dyDescent="0.2">
      <c r="A127" s="2"/>
      <c r="B127" s="48"/>
      <c r="C127" s="48"/>
      <c r="D127" s="6"/>
      <c r="E127" s="6"/>
      <c r="F127" s="6"/>
      <c r="G127" s="8"/>
      <c r="H127" s="9"/>
    </row>
    <row r="128" spans="1:8" x14ac:dyDescent="0.2">
      <c r="A128" s="4"/>
      <c r="E128" s="4"/>
      <c r="F128" s="4"/>
      <c r="G128" s="9"/>
      <c r="H128" s="8"/>
    </row>
    <row r="129" spans="1:8" x14ac:dyDescent="0.2">
      <c r="A129" s="4"/>
      <c r="E129" s="4"/>
      <c r="F129" s="4"/>
      <c r="G129" s="9"/>
      <c r="H129" s="9"/>
    </row>
    <row r="130" spans="1:8" x14ac:dyDescent="0.2">
      <c r="A130" s="4"/>
      <c r="E130" s="4"/>
      <c r="F130" s="4"/>
      <c r="G130" s="9"/>
      <c r="H130" s="9"/>
    </row>
    <row r="131" spans="1:8" x14ac:dyDescent="0.2">
      <c r="A131" s="4"/>
      <c r="E131" s="4"/>
      <c r="F131" s="4"/>
      <c r="G131" s="9"/>
      <c r="H131" s="9"/>
    </row>
    <row r="132" spans="1:8" x14ac:dyDescent="0.2">
      <c r="A132" s="6"/>
      <c r="B132" s="7"/>
      <c r="C132" s="7"/>
      <c r="E132" s="6"/>
      <c r="F132" s="6"/>
      <c r="G132" s="9"/>
      <c r="H132" s="9"/>
    </row>
    <row r="133" spans="1:8" x14ac:dyDescent="0.2">
      <c r="A133" s="4"/>
      <c r="E133" s="4"/>
      <c r="F133" s="4"/>
      <c r="G133" s="9"/>
      <c r="H133" s="9"/>
    </row>
    <row r="134" spans="1:8" x14ac:dyDescent="0.2">
      <c r="A134" s="2"/>
      <c r="B134" s="48"/>
      <c r="C134" s="48"/>
      <c r="D134" s="6"/>
      <c r="E134" s="6"/>
      <c r="F134" s="6"/>
      <c r="G134" s="8"/>
      <c r="H134" s="9"/>
    </row>
    <row r="135" spans="1:8" x14ac:dyDescent="0.2">
      <c r="A135" s="4"/>
      <c r="E135" s="4"/>
      <c r="F135" s="4"/>
      <c r="G135" s="9"/>
      <c r="H135" s="9"/>
    </row>
    <row r="136" spans="1:8" x14ac:dyDescent="0.2">
      <c r="A136" s="4"/>
      <c r="E136" s="4"/>
      <c r="F136" s="4"/>
      <c r="G136" s="9"/>
      <c r="H136" s="9"/>
    </row>
    <row r="137" spans="1:8" x14ac:dyDescent="0.2">
      <c r="A137" s="4"/>
      <c r="E137" s="4"/>
      <c r="F137" s="4"/>
      <c r="G137" s="9"/>
      <c r="H137" s="9"/>
    </row>
    <row r="138" spans="1:8" x14ac:dyDescent="0.2">
      <c r="A138" s="4"/>
      <c r="E138" s="4"/>
      <c r="F138" s="4"/>
      <c r="G138" s="9"/>
      <c r="H138" s="9"/>
    </row>
    <row r="139" spans="1:8" x14ac:dyDescent="0.2">
      <c r="A139" s="6"/>
      <c r="B139" s="7"/>
      <c r="C139" s="7"/>
      <c r="E139" s="6"/>
      <c r="F139" s="6"/>
      <c r="G139" s="9"/>
      <c r="H139" s="9"/>
    </row>
    <row r="140" spans="1:8" x14ac:dyDescent="0.2">
      <c r="A140" s="4"/>
      <c r="B140" s="13"/>
      <c r="E140" s="4"/>
      <c r="F140" s="4"/>
      <c r="G140" s="9"/>
      <c r="H140" s="9"/>
    </row>
    <row r="141" spans="1:8" x14ac:dyDescent="0.2">
      <c r="A141" s="6"/>
      <c r="B141" s="7"/>
      <c r="C141" s="7"/>
      <c r="D141" s="6"/>
      <c r="E141" s="6"/>
      <c r="F141" s="6"/>
      <c r="G141" s="9"/>
      <c r="H141" s="9"/>
    </row>
    <row r="142" spans="1:8" x14ac:dyDescent="0.2">
      <c r="A142" s="2"/>
      <c r="B142" s="48"/>
      <c r="C142" s="48"/>
      <c r="D142" s="6"/>
      <c r="E142" s="6"/>
      <c r="F142" s="6"/>
      <c r="G142" s="8"/>
      <c r="H142" s="9"/>
    </row>
    <row r="143" spans="1:8" x14ac:dyDescent="0.2">
      <c r="A143" s="4"/>
      <c r="E143" s="4"/>
      <c r="F143" s="4"/>
      <c r="G143" s="9"/>
      <c r="H143" s="9"/>
    </row>
    <row r="144" spans="1:8" x14ac:dyDescent="0.2">
      <c r="A144" s="4"/>
      <c r="E144" s="4"/>
      <c r="F144" s="4"/>
      <c r="G144" s="9"/>
      <c r="H144" s="9"/>
    </row>
    <row r="145" spans="1:8" x14ac:dyDescent="0.2">
      <c r="A145" s="4"/>
      <c r="E145" s="4"/>
      <c r="F145" s="4"/>
      <c r="G145" s="9"/>
      <c r="H145" s="9"/>
    </row>
    <row r="146" spans="1:8" x14ac:dyDescent="0.2">
      <c r="A146" s="4"/>
      <c r="E146" s="4"/>
      <c r="F146" s="4"/>
      <c r="G146" s="9"/>
      <c r="H146" s="9"/>
    </row>
    <row r="147" spans="1:8" x14ac:dyDescent="0.2">
      <c r="A147" s="6"/>
      <c r="B147" s="7"/>
      <c r="C147" s="7"/>
      <c r="E147" s="6"/>
      <c r="F147" s="6"/>
      <c r="G147" s="9"/>
      <c r="H147" s="9"/>
    </row>
    <row r="148" spans="1:8" x14ac:dyDescent="0.2">
      <c r="A148" s="4"/>
      <c r="E148" s="4"/>
      <c r="F148" s="4"/>
      <c r="G148" s="9"/>
      <c r="H148" s="9"/>
    </row>
    <row r="149" spans="1:8" x14ac:dyDescent="0.2">
      <c r="A149" s="4"/>
      <c r="E149" s="4"/>
      <c r="F149" s="4"/>
      <c r="G149" s="9"/>
      <c r="H149" s="9"/>
    </row>
    <row r="150" spans="1:8" x14ac:dyDescent="0.2">
      <c r="A150" s="4"/>
      <c r="E150" s="4"/>
      <c r="F150" s="4"/>
      <c r="G150" s="9"/>
      <c r="H150" s="9"/>
    </row>
    <row r="151" spans="1:8" x14ac:dyDescent="0.2">
      <c r="A151" s="4"/>
      <c r="E151" s="4"/>
      <c r="F151" s="4"/>
      <c r="G151" s="9"/>
      <c r="H151" s="9"/>
    </row>
    <row r="152" spans="1:8" x14ac:dyDescent="0.2">
      <c r="A152" s="6"/>
      <c r="C152" s="7"/>
      <c r="E152" s="6"/>
      <c r="F152" s="6"/>
      <c r="G152" s="9"/>
      <c r="H152" s="9"/>
    </row>
    <row r="153" spans="1:8" x14ac:dyDescent="0.2">
      <c r="A153" s="12"/>
      <c r="B153" s="13"/>
      <c r="C153" s="13"/>
      <c r="E153" s="12"/>
      <c r="F153" s="12"/>
      <c r="G153" s="9"/>
      <c r="H153" s="9"/>
    </row>
    <row r="154" spans="1:8" x14ac:dyDescent="0.2">
      <c r="A154" s="12"/>
      <c r="B154" s="13"/>
      <c r="C154" s="13"/>
      <c r="E154" s="12"/>
      <c r="F154" s="12"/>
      <c r="G154" s="9"/>
      <c r="H154" s="9"/>
    </row>
    <row r="155" spans="1:8" x14ac:dyDescent="0.2">
      <c r="A155" s="12"/>
      <c r="B155" s="13"/>
      <c r="C155" s="13"/>
      <c r="E155" s="12"/>
      <c r="F155" s="12"/>
      <c r="G155" s="9"/>
      <c r="H155" s="9"/>
    </row>
    <row r="156" spans="1:8" x14ac:dyDescent="0.2">
      <c r="A156" s="4"/>
      <c r="B156" s="13"/>
      <c r="E156" s="4"/>
      <c r="F156" s="4"/>
      <c r="G156" s="9"/>
      <c r="H156" s="9"/>
    </row>
    <row r="157" spans="1:8" x14ac:dyDescent="0.2">
      <c r="A157" s="4"/>
      <c r="B157" s="13"/>
      <c r="E157" s="4"/>
      <c r="F157" s="4"/>
      <c r="G157" s="9"/>
      <c r="H157" s="9"/>
    </row>
    <row r="158" spans="1:8" x14ac:dyDescent="0.2">
      <c r="A158" s="11"/>
      <c r="B158" s="48"/>
      <c r="C158" s="48"/>
      <c r="D158" s="6"/>
      <c r="E158" s="6"/>
      <c r="F158" s="6"/>
      <c r="G158" s="8"/>
      <c r="H158" s="9"/>
    </row>
    <row r="159" spans="1:8" x14ac:dyDescent="0.2">
      <c r="A159" s="4"/>
      <c r="E159" s="4"/>
      <c r="F159" s="4"/>
      <c r="G159" s="9"/>
      <c r="H159" s="8"/>
    </row>
    <row r="160" spans="1:8" x14ac:dyDescent="0.2">
      <c r="A160" s="4"/>
      <c r="E160" s="4"/>
      <c r="F160" s="4"/>
      <c r="G160" s="9"/>
      <c r="H160" s="9"/>
    </row>
    <row r="161" spans="1:8" x14ac:dyDescent="0.2">
      <c r="A161" s="4"/>
      <c r="E161" s="4"/>
      <c r="F161" s="4"/>
      <c r="G161" s="9"/>
      <c r="H161" s="9"/>
    </row>
    <row r="162" spans="1:8" x14ac:dyDescent="0.2">
      <c r="A162" s="4"/>
      <c r="E162" s="4"/>
      <c r="F162" s="4"/>
      <c r="G162" s="9"/>
      <c r="H162" s="9"/>
    </row>
    <row r="163" spans="1:8" x14ac:dyDescent="0.2">
      <c r="A163" s="6"/>
      <c r="B163" s="7"/>
      <c r="C163" s="7"/>
      <c r="E163" s="6"/>
      <c r="F163" s="6"/>
      <c r="G163" s="9"/>
      <c r="H163" s="9"/>
    </row>
    <row r="164" spans="1:8" x14ac:dyDescent="0.2">
      <c r="A164" s="4"/>
      <c r="E164" s="4"/>
      <c r="F164" s="4"/>
      <c r="G164" s="9"/>
      <c r="H164" s="9"/>
    </row>
    <row r="165" spans="1:8" x14ac:dyDescent="0.2">
      <c r="A165" s="4"/>
      <c r="E165" s="4"/>
      <c r="F165" s="4"/>
      <c r="G165" s="9"/>
      <c r="H165" s="9"/>
    </row>
    <row r="166" spans="1:8" x14ac:dyDescent="0.2">
      <c r="A166" s="4"/>
      <c r="E166" s="4"/>
      <c r="F166" s="4"/>
      <c r="G166" s="9"/>
      <c r="H166" s="9"/>
    </row>
    <row r="167" spans="1:8" x14ac:dyDescent="0.2">
      <c r="A167" s="4"/>
      <c r="E167" s="4"/>
      <c r="F167" s="4"/>
      <c r="G167" s="9"/>
      <c r="H167" s="9"/>
    </row>
    <row r="168" spans="1:8" x14ac:dyDescent="0.2">
      <c r="A168" s="4"/>
      <c r="E168" s="4"/>
      <c r="F168" s="4"/>
      <c r="G168" s="9"/>
      <c r="H168" s="9"/>
    </row>
    <row r="169" spans="1:8" x14ac:dyDescent="0.2">
      <c r="A169" s="12"/>
      <c r="B169" s="13"/>
      <c r="C169" s="13"/>
      <c r="E169" s="12"/>
      <c r="F169" s="12"/>
      <c r="G169" s="9"/>
      <c r="H169" s="9"/>
    </row>
    <row r="170" spans="1:8" x14ac:dyDescent="0.2">
      <c r="A170" s="12"/>
      <c r="B170" s="13"/>
      <c r="C170" s="13"/>
      <c r="E170" s="12"/>
      <c r="F170" s="12"/>
      <c r="G170" s="9"/>
      <c r="H170" s="9"/>
    </row>
    <row r="171" spans="1:8" x14ac:dyDescent="0.2">
      <c r="A171" s="12"/>
      <c r="B171" s="13"/>
      <c r="C171" s="13"/>
      <c r="E171" s="12"/>
      <c r="F171" s="12"/>
      <c r="G171" s="9"/>
      <c r="H171" s="9"/>
    </row>
    <row r="172" spans="1:8" x14ac:dyDescent="0.2">
      <c r="A172" s="4"/>
      <c r="B172" s="13"/>
      <c r="C172" s="13"/>
      <c r="E172" s="4"/>
      <c r="F172" s="4"/>
      <c r="G172" s="9"/>
      <c r="H172" s="5"/>
    </row>
    <row r="173" spans="1:8" x14ac:dyDescent="0.2">
      <c r="A173" s="4"/>
      <c r="B173" s="13"/>
      <c r="E173" s="4"/>
      <c r="F173" s="4"/>
      <c r="G173" s="9"/>
      <c r="H173" s="5"/>
    </row>
    <row r="174" spans="1:8" x14ac:dyDescent="0.2">
      <c r="A174" s="11"/>
      <c r="B174" s="48"/>
      <c r="C174" s="48"/>
      <c r="D174" s="6"/>
      <c r="E174" s="6"/>
      <c r="F174" s="6"/>
      <c r="G174" s="8"/>
      <c r="H174" s="5"/>
    </row>
    <row r="175" spans="1:8" x14ac:dyDescent="0.2">
      <c r="A175" s="4"/>
      <c r="E175" s="4"/>
      <c r="F175" s="4"/>
      <c r="G175" s="9"/>
      <c r="H175" s="5"/>
    </row>
    <row r="176" spans="1:8" x14ac:dyDescent="0.2">
      <c r="A176" s="4"/>
      <c r="E176" s="4"/>
      <c r="F176" s="4"/>
      <c r="G176" s="9"/>
      <c r="H176" s="5"/>
    </row>
    <row r="177" spans="1:8" x14ac:dyDescent="0.2">
      <c r="A177" s="4"/>
      <c r="E177" s="4"/>
      <c r="F177" s="4"/>
      <c r="G177" s="9"/>
      <c r="H177" s="5"/>
    </row>
    <row r="178" spans="1:8" x14ac:dyDescent="0.2">
      <c r="A178" s="4"/>
      <c r="E178" s="4"/>
      <c r="F178" s="4"/>
      <c r="G178" s="9"/>
      <c r="H178" s="5"/>
    </row>
    <row r="179" spans="1:8" x14ac:dyDescent="0.2">
      <c r="A179" s="6"/>
      <c r="B179" s="7"/>
      <c r="C179" s="7"/>
      <c r="E179" s="6"/>
      <c r="F179" s="6"/>
      <c r="G179" s="9"/>
      <c r="H179" s="5"/>
    </row>
    <row r="180" spans="1:8" x14ac:dyDescent="0.2">
      <c r="A180" s="4"/>
      <c r="E180" s="4"/>
      <c r="F180" s="4"/>
      <c r="G180" s="9"/>
      <c r="H180" s="5"/>
    </row>
    <row r="181" spans="1:8" x14ac:dyDescent="0.2">
      <c r="A181" s="4"/>
      <c r="E181" s="4"/>
      <c r="F181" s="4"/>
      <c r="G181" s="9"/>
      <c r="H181" s="5"/>
    </row>
    <row r="182" spans="1:8" x14ac:dyDescent="0.2">
      <c r="A182" s="4"/>
      <c r="E182" s="4"/>
      <c r="F182" s="4"/>
      <c r="G182" s="9"/>
      <c r="H182" s="5"/>
    </row>
    <row r="183" spans="1:8" x14ac:dyDescent="0.2">
      <c r="A183" s="4"/>
      <c r="E183" s="4"/>
      <c r="F183" s="4"/>
      <c r="G183" s="9"/>
      <c r="H183" s="5"/>
    </row>
    <row r="184" spans="1:8" x14ac:dyDescent="0.2">
      <c r="A184" s="4"/>
      <c r="E184" s="4"/>
      <c r="F184" s="4"/>
      <c r="G184" s="9"/>
      <c r="H184" s="5"/>
    </row>
    <row r="185" spans="1:8" x14ac:dyDescent="0.2">
      <c r="A185" s="12"/>
      <c r="B185" s="13"/>
      <c r="C185" s="13"/>
      <c r="E185" s="12"/>
      <c r="F185" s="12"/>
      <c r="G185" s="9"/>
      <c r="H185" s="5"/>
    </row>
    <row r="186" spans="1:8" x14ac:dyDescent="0.2">
      <c r="A186" s="12"/>
      <c r="B186" s="13"/>
      <c r="C186" s="13"/>
      <c r="E186" s="12"/>
      <c r="F186" s="12"/>
      <c r="G186" s="9"/>
      <c r="H186" s="5"/>
    </row>
    <row r="187" spans="1:8" x14ac:dyDescent="0.2">
      <c r="A187" s="12"/>
      <c r="B187" s="13"/>
      <c r="C187" s="13"/>
      <c r="E187" s="12"/>
      <c r="F187" s="12"/>
      <c r="G187" s="9"/>
      <c r="H187" s="5"/>
    </row>
    <row r="188" spans="1:8" x14ac:dyDescent="0.2">
      <c r="A188" s="4"/>
      <c r="B188" s="13"/>
      <c r="E188" s="4"/>
      <c r="F188" s="4"/>
      <c r="G188" s="9"/>
      <c r="H188" s="3"/>
    </row>
    <row r="189" spans="1:8" x14ac:dyDescent="0.2">
      <c r="A189" s="4"/>
      <c r="B189" s="13"/>
      <c r="E189" s="4"/>
      <c r="F189" s="4"/>
      <c r="G189" s="9"/>
      <c r="H189" s="3"/>
    </row>
    <row r="190" spans="1:8" x14ac:dyDescent="0.2">
      <c r="A190" s="11"/>
      <c r="B190" s="48"/>
      <c r="C190" s="48"/>
      <c r="D190" s="6"/>
      <c r="E190" s="6"/>
      <c r="F190" s="6"/>
      <c r="G190" s="8"/>
      <c r="H190" s="3"/>
    </row>
    <row r="191" spans="1:8" x14ac:dyDescent="0.2">
      <c r="A191" s="4"/>
      <c r="E191" s="4"/>
      <c r="F191" s="4"/>
      <c r="G191" s="9"/>
    </row>
    <row r="192" spans="1:8" x14ac:dyDescent="0.2">
      <c r="A192" s="4"/>
      <c r="E192" s="4"/>
      <c r="F192" s="4"/>
      <c r="G192" s="9"/>
      <c r="H192" s="6"/>
    </row>
    <row r="193" spans="1:8" x14ac:dyDescent="0.2">
      <c r="A193" s="4"/>
      <c r="E193" s="4"/>
      <c r="F193" s="4"/>
      <c r="G193" s="9"/>
      <c r="H193" s="5"/>
    </row>
    <row r="194" spans="1:8" x14ac:dyDescent="0.2">
      <c r="A194" s="4"/>
      <c r="E194" s="4"/>
      <c r="F194" s="4"/>
      <c r="G194" s="9"/>
      <c r="H194" s="5"/>
    </row>
    <row r="195" spans="1:8" x14ac:dyDescent="0.2">
      <c r="A195" s="6"/>
      <c r="B195" s="7"/>
      <c r="C195" s="7"/>
      <c r="E195" s="6"/>
      <c r="F195" s="6"/>
      <c r="G195" s="9"/>
      <c r="H195" s="5"/>
    </row>
    <row r="196" spans="1:8" x14ac:dyDescent="0.2">
      <c r="A196" s="4"/>
      <c r="E196" s="4"/>
      <c r="F196" s="4"/>
      <c r="G196" s="9"/>
      <c r="H196" s="5"/>
    </row>
    <row r="197" spans="1:8" x14ac:dyDescent="0.2">
      <c r="A197" s="4"/>
      <c r="E197" s="4"/>
      <c r="F197" s="4"/>
      <c r="G197" s="9"/>
      <c r="H197" s="5"/>
    </row>
    <row r="198" spans="1:8" x14ac:dyDescent="0.2">
      <c r="A198" s="4"/>
      <c r="E198" s="4"/>
      <c r="F198" s="4"/>
      <c r="G198" s="9"/>
      <c r="H198" s="5"/>
    </row>
    <row r="199" spans="1:8" x14ac:dyDescent="0.2">
      <c r="A199" s="4"/>
      <c r="E199" s="4"/>
      <c r="F199" s="10"/>
      <c r="G199" s="9"/>
      <c r="H199" s="5"/>
    </row>
    <row r="200" spans="1:8" x14ac:dyDescent="0.2">
      <c r="A200" s="4"/>
      <c r="E200" s="4"/>
      <c r="F200" s="10"/>
      <c r="G200" s="9"/>
      <c r="H200" s="5"/>
    </row>
    <row r="201" spans="1:8" x14ac:dyDescent="0.2">
      <c r="A201" s="12"/>
      <c r="B201" s="13"/>
      <c r="C201" s="13"/>
      <c r="E201" s="12"/>
      <c r="F201" s="12"/>
      <c r="G201" s="9"/>
      <c r="H201" s="5"/>
    </row>
    <row r="202" spans="1:8" x14ac:dyDescent="0.2">
      <c r="A202" s="12"/>
      <c r="B202" s="13"/>
      <c r="C202" s="13"/>
      <c r="E202" s="12"/>
      <c r="F202" s="12"/>
      <c r="G202" s="9"/>
      <c r="H202" s="5"/>
    </row>
    <row r="203" spans="1:8" x14ac:dyDescent="0.2">
      <c r="A203" s="12"/>
      <c r="B203" s="13"/>
      <c r="C203" s="13"/>
      <c r="E203" s="12"/>
      <c r="F203" s="12"/>
      <c r="G203" s="9"/>
      <c r="H203" s="5"/>
    </row>
    <row r="204" spans="1:8" x14ac:dyDescent="0.2">
      <c r="A204" s="4"/>
      <c r="B204" s="13"/>
      <c r="E204" s="4"/>
      <c r="F204" s="10"/>
      <c r="G204" s="9"/>
      <c r="H204" s="5"/>
    </row>
    <row r="205" spans="1:8" x14ac:dyDescent="0.2">
      <c r="A205" s="4"/>
      <c r="B205" s="13"/>
      <c r="E205" s="4"/>
      <c r="F205" s="10"/>
      <c r="G205" s="9"/>
      <c r="H205" s="5"/>
    </row>
    <row r="206" spans="1:8" x14ac:dyDescent="0.2">
      <c r="A206" s="2"/>
      <c r="B206" s="48"/>
      <c r="C206" s="48"/>
      <c r="D206" s="6"/>
      <c r="E206" s="6"/>
      <c r="F206" s="6"/>
      <c r="G206" s="8"/>
      <c r="H206" s="5"/>
    </row>
    <row r="207" spans="1:8" x14ac:dyDescent="0.2">
      <c r="A207" s="4"/>
      <c r="E207" s="4"/>
      <c r="F207" s="4"/>
      <c r="G207" s="9"/>
      <c r="H207" s="5"/>
    </row>
    <row r="208" spans="1:8" x14ac:dyDescent="0.2">
      <c r="A208" s="4"/>
      <c r="E208" s="4"/>
      <c r="F208" s="4"/>
      <c r="G208" s="9"/>
      <c r="H208" s="5"/>
    </row>
    <row r="209" spans="1:8" x14ac:dyDescent="0.2">
      <c r="A209" s="4"/>
      <c r="E209" s="4"/>
      <c r="F209" s="4"/>
      <c r="G209" s="9"/>
      <c r="H209" s="5"/>
    </row>
    <row r="210" spans="1:8" x14ac:dyDescent="0.2">
      <c r="A210" s="4"/>
      <c r="E210" s="4"/>
      <c r="F210" s="4"/>
      <c r="G210" s="9"/>
      <c r="H210" s="5"/>
    </row>
    <row r="211" spans="1:8" x14ac:dyDescent="0.2">
      <c r="A211" s="6"/>
      <c r="B211" s="7"/>
      <c r="C211" s="7"/>
      <c r="E211" s="6"/>
      <c r="F211" s="6"/>
      <c r="G211" s="9"/>
      <c r="H211" s="5"/>
    </row>
    <row r="212" spans="1:8" x14ac:dyDescent="0.2">
      <c r="A212" s="4"/>
      <c r="E212" s="4"/>
      <c r="F212" s="4"/>
      <c r="G212" s="9"/>
      <c r="H212" s="5"/>
    </row>
    <row r="213" spans="1:8" x14ac:dyDescent="0.2">
      <c r="A213" s="4"/>
      <c r="B213" s="14"/>
      <c r="C213" s="14"/>
      <c r="E213" s="4"/>
      <c r="F213" s="4"/>
      <c r="G213" s="9"/>
      <c r="H213" s="5"/>
    </row>
    <row r="214" spans="1:8" x14ac:dyDescent="0.2">
      <c r="A214" s="4"/>
      <c r="B214" s="14"/>
      <c r="C214" s="14"/>
      <c r="E214" s="4"/>
      <c r="F214" s="4"/>
      <c r="G214" s="9"/>
      <c r="H214" s="5"/>
    </row>
    <row r="215" spans="1:8" x14ac:dyDescent="0.2">
      <c r="A215" s="4"/>
      <c r="B215" s="14"/>
      <c r="C215" s="14"/>
      <c r="E215" s="4"/>
      <c r="G215" s="9"/>
      <c r="H215" s="5"/>
    </row>
    <row r="216" spans="1:8" x14ac:dyDescent="0.2">
      <c r="A216" s="6"/>
      <c r="B216" s="15"/>
      <c r="C216" s="15"/>
      <c r="E216" s="6"/>
      <c r="F216" s="6"/>
      <c r="G216" s="9"/>
      <c r="H216" s="3"/>
    </row>
    <row r="217" spans="1:8" x14ac:dyDescent="0.2">
      <c r="A217" s="12"/>
      <c r="B217" s="16"/>
      <c r="C217" s="16"/>
      <c r="E217" s="12"/>
      <c r="F217" s="12"/>
      <c r="G217" s="9"/>
      <c r="H217" s="3"/>
    </row>
    <row r="218" spans="1:8" x14ac:dyDescent="0.2">
      <c r="A218" s="12"/>
      <c r="B218" s="13"/>
      <c r="C218" s="16"/>
      <c r="E218" s="12"/>
      <c r="F218" s="12"/>
      <c r="G218" s="9"/>
      <c r="H218" s="3"/>
    </row>
    <row r="219" spans="1:8" x14ac:dyDescent="0.2">
      <c r="A219" s="12"/>
      <c r="B219" s="13"/>
      <c r="C219" s="13"/>
      <c r="E219" s="12"/>
      <c r="F219" s="12"/>
      <c r="G219" s="9"/>
      <c r="H219" s="3"/>
    </row>
    <row r="220" spans="1:8" x14ac:dyDescent="0.2">
      <c r="A220" s="6"/>
      <c r="B220" s="7"/>
      <c r="C220" s="6"/>
      <c r="E220" s="6"/>
      <c r="F220" s="6"/>
      <c r="G220" s="9"/>
      <c r="H220" s="3"/>
    </row>
    <row r="221" spans="1:8" x14ac:dyDescent="0.2">
      <c r="A221" s="6"/>
      <c r="B221" s="7"/>
      <c r="C221" s="6"/>
      <c r="E221" s="6"/>
      <c r="F221" s="6"/>
      <c r="G221" s="9"/>
      <c r="H221" s="3"/>
    </row>
    <row r="222" spans="1:8" x14ac:dyDescent="0.2">
      <c r="A222" s="11"/>
      <c r="B222" s="48"/>
      <c r="C222" s="48"/>
      <c r="D222" s="6"/>
      <c r="E222" s="6"/>
      <c r="F222" s="6"/>
      <c r="G222" s="8"/>
      <c r="H222" s="3"/>
    </row>
    <row r="223" spans="1:8" x14ac:dyDescent="0.2">
      <c r="A223" s="4"/>
      <c r="E223" s="4"/>
      <c r="F223" s="4"/>
      <c r="G223" s="9"/>
      <c r="H223" s="3"/>
    </row>
    <row r="224" spans="1:8" x14ac:dyDescent="0.2">
      <c r="A224" s="4"/>
      <c r="E224" s="4"/>
      <c r="F224" s="4"/>
      <c r="G224" s="9"/>
    </row>
    <row r="225" spans="1:8" x14ac:dyDescent="0.2">
      <c r="A225" s="4"/>
      <c r="E225" s="4"/>
      <c r="F225" s="4"/>
      <c r="G225" s="9"/>
      <c r="H225" s="6"/>
    </row>
    <row r="226" spans="1:8" x14ac:dyDescent="0.2">
      <c r="A226" s="4"/>
      <c r="E226" s="4"/>
      <c r="F226" s="4"/>
      <c r="G226" s="9"/>
      <c r="H226" s="6"/>
    </row>
    <row r="227" spans="1:8" x14ac:dyDescent="0.2">
      <c r="A227" s="6"/>
      <c r="B227" s="7"/>
      <c r="C227" s="7"/>
      <c r="E227" s="6"/>
      <c r="F227" s="6"/>
      <c r="G227" s="9"/>
      <c r="H227" s="6"/>
    </row>
    <row r="228" spans="1:8" x14ac:dyDescent="0.2">
      <c r="A228" s="4"/>
      <c r="E228" s="4"/>
      <c r="F228" s="4"/>
      <c r="G228" s="9"/>
      <c r="H228" s="5"/>
    </row>
    <row r="229" spans="1:8" x14ac:dyDescent="0.2">
      <c r="A229" s="4"/>
      <c r="E229" s="4"/>
      <c r="F229" s="4"/>
      <c r="G229" s="9"/>
      <c r="H229" s="5"/>
    </row>
    <row r="230" spans="1:8" x14ac:dyDescent="0.2">
      <c r="A230" s="4"/>
      <c r="E230" s="4"/>
      <c r="F230" s="4"/>
      <c r="G230" s="9"/>
      <c r="H230" s="5"/>
    </row>
    <row r="231" spans="1:8" x14ac:dyDescent="0.2">
      <c r="A231" s="4"/>
      <c r="E231" s="4"/>
      <c r="F231" s="4"/>
      <c r="G231" s="9"/>
      <c r="H231" s="5"/>
    </row>
    <row r="232" spans="1:8" x14ac:dyDescent="0.2">
      <c r="A232" s="4"/>
      <c r="E232" s="4"/>
      <c r="F232" s="4"/>
      <c r="G232" s="9"/>
      <c r="H232" s="5"/>
    </row>
    <row r="233" spans="1:8" x14ac:dyDescent="0.2">
      <c r="A233" s="12"/>
      <c r="B233" s="13"/>
      <c r="C233" s="13"/>
      <c r="E233" s="12"/>
      <c r="F233" s="12"/>
      <c r="G233" s="9"/>
      <c r="H233" s="5"/>
    </row>
    <row r="234" spans="1:8" x14ac:dyDescent="0.2">
      <c r="A234" s="12"/>
      <c r="B234" s="13"/>
      <c r="C234" s="13"/>
      <c r="E234" s="12"/>
      <c r="F234" s="12"/>
      <c r="G234" s="9"/>
      <c r="H234" s="5"/>
    </row>
    <row r="235" spans="1:8" x14ac:dyDescent="0.2">
      <c r="A235" s="12"/>
      <c r="B235" s="13"/>
      <c r="C235" s="13"/>
      <c r="E235" s="12"/>
      <c r="F235" s="12"/>
      <c r="G235" s="9"/>
      <c r="H235" s="5"/>
    </row>
    <row r="236" spans="1:8" x14ac:dyDescent="0.2">
      <c r="A236" s="6"/>
      <c r="B236" s="7"/>
      <c r="C236" s="7"/>
      <c r="E236" s="4"/>
      <c r="F236" s="4"/>
      <c r="G236" s="9"/>
      <c r="H236" s="5"/>
    </row>
    <row r="237" spans="1:8" x14ac:dyDescent="0.2">
      <c r="A237" s="4"/>
      <c r="B237" s="13"/>
      <c r="E237" s="4"/>
      <c r="F237" s="4"/>
      <c r="G237" s="9"/>
      <c r="H237" s="5"/>
    </row>
    <row r="238" spans="1:8" x14ac:dyDescent="0.2">
      <c r="A238" s="11"/>
      <c r="B238" s="48"/>
      <c r="C238" s="48"/>
      <c r="D238" s="6"/>
      <c r="E238" s="6"/>
      <c r="F238" s="6"/>
      <c r="G238" s="8"/>
      <c r="H238" s="5"/>
    </row>
    <row r="239" spans="1:8" x14ac:dyDescent="0.2">
      <c r="A239" s="4"/>
      <c r="E239" s="4"/>
      <c r="F239" s="4"/>
      <c r="G239" s="9"/>
      <c r="H239" s="5"/>
    </row>
    <row r="240" spans="1:8" x14ac:dyDescent="0.2">
      <c r="A240" s="4"/>
      <c r="E240" s="4"/>
      <c r="F240" s="4"/>
      <c r="G240" s="9"/>
      <c r="H240" s="5"/>
    </row>
    <row r="241" spans="1:8" x14ac:dyDescent="0.2">
      <c r="A241" s="4"/>
      <c r="E241" s="4"/>
      <c r="F241" s="4"/>
      <c r="G241" s="9"/>
      <c r="H241" s="5"/>
    </row>
    <row r="242" spans="1:8" x14ac:dyDescent="0.2">
      <c r="A242" s="4"/>
      <c r="E242" s="4"/>
      <c r="F242" s="4"/>
      <c r="G242" s="9"/>
      <c r="H242" s="5"/>
    </row>
    <row r="243" spans="1:8" x14ac:dyDescent="0.2">
      <c r="A243" s="6"/>
      <c r="B243" s="7"/>
      <c r="C243" s="7"/>
      <c r="E243" s="6"/>
      <c r="F243" s="6"/>
      <c r="G243" s="9"/>
      <c r="H243" s="5"/>
    </row>
    <row r="244" spans="1:8" x14ac:dyDescent="0.2">
      <c r="A244" s="4"/>
      <c r="E244" s="4"/>
      <c r="F244" s="4"/>
      <c r="G244" s="9"/>
      <c r="H244" s="5"/>
    </row>
    <row r="245" spans="1:8" x14ac:dyDescent="0.2">
      <c r="A245" s="4"/>
      <c r="E245" s="4"/>
      <c r="F245" s="4"/>
      <c r="G245" s="9"/>
      <c r="H245" s="5"/>
    </row>
    <row r="246" spans="1:8" x14ac:dyDescent="0.2">
      <c r="A246" s="4"/>
      <c r="E246" s="4"/>
      <c r="F246" s="4"/>
      <c r="G246" s="9"/>
      <c r="H246" s="5"/>
    </row>
    <row r="247" spans="1:8" x14ac:dyDescent="0.2">
      <c r="A247" s="4"/>
      <c r="E247" s="4"/>
      <c r="F247" s="4"/>
      <c r="G247" s="9"/>
      <c r="H247" s="5"/>
    </row>
    <row r="248" spans="1:8" x14ac:dyDescent="0.2">
      <c r="A248" s="4"/>
      <c r="E248" s="4"/>
      <c r="F248" s="4"/>
      <c r="G248" s="9"/>
      <c r="H248" s="5"/>
    </row>
    <row r="249" spans="1:8" x14ac:dyDescent="0.2">
      <c r="A249" s="12"/>
      <c r="B249" s="13"/>
      <c r="C249" s="13"/>
      <c r="E249" s="12"/>
      <c r="F249" s="12"/>
      <c r="G249" s="9"/>
      <c r="H249" s="5"/>
    </row>
    <row r="250" spans="1:8" x14ac:dyDescent="0.2">
      <c r="A250" s="12"/>
      <c r="B250" s="13"/>
      <c r="C250" s="13"/>
      <c r="E250" s="12"/>
      <c r="F250" s="12"/>
      <c r="G250" s="9"/>
      <c r="H250" s="5"/>
    </row>
    <row r="251" spans="1:8" x14ac:dyDescent="0.2">
      <c r="A251" s="12"/>
      <c r="B251" s="13"/>
      <c r="C251" s="13"/>
      <c r="E251" s="12"/>
      <c r="F251" s="12"/>
      <c r="G251" s="9"/>
      <c r="H251" s="5"/>
    </row>
    <row r="252" spans="1:8" x14ac:dyDescent="0.2">
      <c r="A252" s="4"/>
      <c r="B252" s="13"/>
      <c r="E252" s="4"/>
      <c r="F252" s="4"/>
      <c r="G252" s="9"/>
      <c r="H252" s="5"/>
    </row>
    <row r="253" spans="1:8" x14ac:dyDescent="0.2">
      <c r="A253" s="4"/>
      <c r="B253" s="13"/>
      <c r="E253" s="4"/>
      <c r="F253" s="4"/>
      <c r="G253" s="9"/>
      <c r="H253" s="5"/>
    </row>
    <row r="254" spans="1:8" x14ac:dyDescent="0.2">
      <c r="A254" s="11"/>
      <c r="B254" s="48"/>
      <c r="C254" s="48"/>
      <c r="D254" s="6"/>
      <c r="E254" s="6"/>
      <c r="F254" s="6"/>
      <c r="G254" s="8"/>
      <c r="H254" s="5"/>
    </row>
    <row r="255" spans="1:8" x14ac:dyDescent="0.2">
      <c r="A255" s="4"/>
      <c r="E255" s="4"/>
      <c r="F255" s="4"/>
      <c r="G255" s="9"/>
      <c r="H255" s="5"/>
    </row>
    <row r="256" spans="1:8" x14ac:dyDescent="0.2">
      <c r="A256" s="4"/>
      <c r="E256" s="4"/>
      <c r="F256" s="4"/>
      <c r="G256" s="9"/>
      <c r="H256" s="5"/>
    </row>
    <row r="257" spans="1:8" x14ac:dyDescent="0.2">
      <c r="A257" s="4"/>
      <c r="E257" s="4"/>
      <c r="F257" s="4"/>
      <c r="G257" s="9"/>
      <c r="H257" s="5"/>
    </row>
    <row r="258" spans="1:8" x14ac:dyDescent="0.2">
      <c r="A258" s="4"/>
      <c r="E258" s="4"/>
      <c r="F258" s="4"/>
      <c r="G258" s="9"/>
      <c r="H258" s="3"/>
    </row>
    <row r="259" spans="1:8" x14ac:dyDescent="0.2">
      <c r="A259" s="6"/>
      <c r="B259" s="7"/>
      <c r="C259" s="7"/>
      <c r="E259" s="6"/>
      <c r="F259" s="6"/>
      <c r="G259" s="9"/>
      <c r="H259" s="3"/>
    </row>
    <row r="260" spans="1:8" x14ac:dyDescent="0.2">
      <c r="A260" s="4"/>
      <c r="E260" s="4"/>
      <c r="F260" s="4"/>
      <c r="G260" s="9"/>
      <c r="H260" s="3"/>
    </row>
    <row r="261" spans="1:8" x14ac:dyDescent="0.2">
      <c r="A261" s="4"/>
      <c r="E261" s="4"/>
      <c r="F261" s="4"/>
      <c r="G261" s="9"/>
    </row>
    <row r="262" spans="1:8" x14ac:dyDescent="0.2">
      <c r="A262" s="4"/>
      <c r="E262" s="4"/>
      <c r="F262" s="4"/>
      <c r="G262" s="9"/>
      <c r="H262" s="6"/>
    </row>
    <row r="263" spans="1:8" x14ac:dyDescent="0.2">
      <c r="A263" s="4"/>
      <c r="E263" s="4"/>
      <c r="F263" s="4"/>
      <c r="G263" s="9"/>
      <c r="H263" s="3"/>
    </row>
    <row r="264" spans="1:8" x14ac:dyDescent="0.2">
      <c r="A264" s="4"/>
      <c r="E264" s="4"/>
      <c r="F264" s="4"/>
      <c r="G264" s="9"/>
      <c r="H264" s="3"/>
    </row>
    <row r="265" spans="1:8" x14ac:dyDescent="0.2">
      <c r="A265" s="12"/>
      <c r="B265" s="13"/>
      <c r="C265" s="13"/>
      <c r="E265" s="12"/>
      <c r="F265" s="12"/>
      <c r="G265" s="9"/>
      <c r="H265" s="3"/>
    </row>
    <row r="266" spans="1:8" x14ac:dyDescent="0.2">
      <c r="A266" s="12"/>
      <c r="B266" s="13"/>
      <c r="C266" s="13"/>
      <c r="E266" s="12"/>
      <c r="F266" s="12"/>
      <c r="G266" s="9"/>
      <c r="H266" s="3"/>
    </row>
    <row r="267" spans="1:8" x14ac:dyDescent="0.2">
      <c r="A267" s="12"/>
      <c r="B267" s="13"/>
      <c r="C267" s="13"/>
      <c r="E267" s="12"/>
      <c r="F267" s="12"/>
      <c r="G267" s="9"/>
      <c r="H267" s="3"/>
    </row>
    <row r="268" spans="1:8" x14ac:dyDescent="0.2">
      <c r="A268" s="4"/>
      <c r="B268" s="13"/>
      <c r="E268" s="4"/>
      <c r="F268" s="4"/>
      <c r="G268" s="9"/>
      <c r="H268" s="3"/>
    </row>
    <row r="269" spans="1:8" x14ac:dyDescent="0.2">
      <c r="A269" s="4"/>
      <c r="B269" s="13"/>
      <c r="E269" s="4"/>
      <c r="F269" s="4"/>
      <c r="G269" s="9"/>
      <c r="H269" s="3"/>
    </row>
    <row r="270" spans="1:8" x14ac:dyDescent="0.2">
      <c r="A270" s="11"/>
      <c r="B270" s="48"/>
      <c r="C270" s="48"/>
      <c r="D270" s="6"/>
      <c r="E270" s="6"/>
      <c r="F270" s="6"/>
      <c r="G270" s="8"/>
      <c r="H270" s="3"/>
    </row>
    <row r="271" spans="1:8" x14ac:dyDescent="0.2">
      <c r="A271" s="4"/>
      <c r="E271" s="4"/>
      <c r="F271" s="4"/>
      <c r="G271" s="9"/>
      <c r="H271" s="3"/>
    </row>
    <row r="272" spans="1:8" x14ac:dyDescent="0.2">
      <c r="A272" s="4"/>
      <c r="E272" s="4"/>
      <c r="F272" s="4"/>
      <c r="G272" s="9"/>
      <c r="H272" s="3"/>
    </row>
    <row r="273" spans="1:8" x14ac:dyDescent="0.2">
      <c r="A273" s="4"/>
      <c r="E273" s="4"/>
      <c r="F273" s="4"/>
      <c r="G273" s="9"/>
      <c r="H273" s="3"/>
    </row>
    <row r="274" spans="1:8" x14ac:dyDescent="0.2">
      <c r="A274" s="4"/>
      <c r="E274" s="4"/>
      <c r="F274" s="1"/>
      <c r="G274" s="9"/>
      <c r="H274" s="3"/>
    </row>
    <row r="275" spans="1:8" x14ac:dyDescent="0.2">
      <c r="A275" s="6"/>
      <c r="B275" s="7"/>
      <c r="C275" s="7"/>
      <c r="E275" s="4"/>
      <c r="F275" s="6"/>
      <c r="G275" s="9"/>
      <c r="H275" s="3"/>
    </row>
    <row r="276" spans="1:8" x14ac:dyDescent="0.2">
      <c r="A276" s="4"/>
      <c r="E276" s="4"/>
      <c r="F276" s="1"/>
      <c r="G276" s="9"/>
      <c r="H276" s="3"/>
    </row>
    <row r="277" spans="1:8" x14ac:dyDescent="0.2">
      <c r="A277" s="4"/>
      <c r="E277" s="4"/>
      <c r="F277" s="1"/>
      <c r="G277" s="9"/>
      <c r="H277" s="3"/>
    </row>
    <row r="278" spans="1:8" x14ac:dyDescent="0.2">
      <c r="A278" s="4"/>
      <c r="E278" s="4"/>
      <c r="F278" s="1"/>
      <c r="G278" s="9"/>
      <c r="H278" s="3"/>
    </row>
    <row r="279" spans="1:8" x14ac:dyDescent="0.2">
      <c r="A279" s="4"/>
      <c r="E279" s="4"/>
      <c r="F279" s="1"/>
      <c r="G279" s="9"/>
      <c r="H279" s="3"/>
    </row>
    <row r="280" spans="1:8" x14ac:dyDescent="0.2">
      <c r="A280" s="4"/>
      <c r="E280" s="4"/>
      <c r="F280" s="1"/>
      <c r="G280" s="9"/>
      <c r="H280" s="3"/>
    </row>
    <row r="281" spans="1:8" x14ac:dyDescent="0.2">
      <c r="A281" s="12"/>
      <c r="B281" s="13"/>
      <c r="C281" s="13"/>
      <c r="E281" s="12"/>
      <c r="F281" s="17"/>
      <c r="G281" s="9"/>
      <c r="H281" s="3"/>
    </row>
    <row r="282" spans="1:8" x14ac:dyDescent="0.2">
      <c r="A282" s="12"/>
      <c r="B282" s="13"/>
      <c r="C282" s="13"/>
      <c r="E282" s="12"/>
      <c r="F282" s="17"/>
      <c r="G282" s="9"/>
      <c r="H282" s="3"/>
    </row>
    <row r="283" spans="1:8" x14ac:dyDescent="0.2">
      <c r="A283" s="12"/>
      <c r="B283" s="13"/>
      <c r="C283" s="13"/>
      <c r="E283" s="12"/>
      <c r="F283" s="17"/>
      <c r="G283" s="9"/>
      <c r="H283" s="3"/>
    </row>
    <row r="284" spans="1:8" x14ac:dyDescent="0.2">
      <c r="A284" s="4"/>
      <c r="B284" s="13"/>
      <c r="E284" s="12"/>
      <c r="F284" s="1"/>
      <c r="G284" s="3"/>
      <c r="H284" s="3"/>
    </row>
    <row r="285" spans="1:8" x14ac:dyDescent="0.2">
      <c r="A285" s="4"/>
      <c r="B285" s="13"/>
      <c r="E285" s="12"/>
      <c r="F285" s="1"/>
      <c r="G285" s="3"/>
      <c r="H285" s="3"/>
    </row>
    <row r="286" spans="1:8" x14ac:dyDescent="0.2">
      <c r="A286" s="4"/>
      <c r="G286" s="3"/>
      <c r="H286" s="3"/>
    </row>
  </sheetData>
  <mergeCells count="31">
    <mergeCell ref="B120:C120"/>
    <mergeCell ref="B127:C127"/>
    <mergeCell ref="B134:C134"/>
    <mergeCell ref="B71:C71"/>
    <mergeCell ref="B85:C85"/>
    <mergeCell ref="B77:C77"/>
    <mergeCell ref="B106:C106"/>
    <mergeCell ref="B113:C113"/>
    <mergeCell ref="B254:C254"/>
    <mergeCell ref="B270:C270"/>
    <mergeCell ref="B142:C142"/>
    <mergeCell ref="B174:C174"/>
    <mergeCell ref="B206:C206"/>
    <mergeCell ref="B222:C222"/>
    <mergeCell ref="B238:C238"/>
    <mergeCell ref="B1:C1"/>
    <mergeCell ref="B158:C158"/>
    <mergeCell ref="B190:C190"/>
    <mergeCell ref="B49:C49"/>
    <mergeCell ref="B78:C78"/>
    <mergeCell ref="B8:C8"/>
    <mergeCell ref="B15:C15"/>
    <mergeCell ref="B22:C22"/>
    <mergeCell ref="B29:C29"/>
    <mergeCell ref="B36:C36"/>
    <mergeCell ref="B43:C43"/>
    <mergeCell ref="B50:C50"/>
    <mergeCell ref="B57:C57"/>
    <mergeCell ref="B64:C64"/>
    <mergeCell ref="B92:C92"/>
    <mergeCell ref="B99:C9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E353DA-C6B3-C443-9F7F-0A32CBDCC52E}">
  <dimension ref="A1:L49"/>
  <sheetViews>
    <sheetView tabSelected="1" topLeftCell="E10" workbookViewId="0">
      <selection activeCell="L45" sqref="L45:L49"/>
    </sheetView>
  </sheetViews>
  <sheetFormatPr baseColWidth="10" defaultRowHeight="16" x14ac:dyDescent="0.2"/>
  <cols>
    <col min="1" max="1" width="16.33203125" customWidth="1"/>
    <col min="12" max="12" width="10.83203125" style="72"/>
  </cols>
  <sheetData>
    <row r="1" spans="1:12" ht="43" thickBot="1" x14ac:dyDescent="0.25">
      <c r="B1" s="1"/>
      <c r="C1" s="25" t="s">
        <v>5</v>
      </c>
      <c r="D1" s="25" t="s">
        <v>6</v>
      </c>
      <c r="E1" s="25" t="s">
        <v>10</v>
      </c>
      <c r="F1" s="25" t="s">
        <v>7</v>
      </c>
      <c r="G1" s="25" t="s">
        <v>8</v>
      </c>
      <c r="H1" s="25" t="s">
        <v>16</v>
      </c>
      <c r="I1" s="25" t="s">
        <v>34</v>
      </c>
    </row>
    <row r="2" spans="1:12" x14ac:dyDescent="0.2">
      <c r="A2" s="40" t="s">
        <v>26</v>
      </c>
      <c r="B2" s="52" t="s">
        <v>27</v>
      </c>
      <c r="C2" s="26">
        <v>6</v>
      </c>
      <c r="D2" s="27">
        <v>10000</v>
      </c>
      <c r="E2" s="28">
        <f>C2*5*D2</f>
        <v>300000</v>
      </c>
      <c r="F2" s="42">
        <f>AVERAGE(E2:E5)</f>
        <v>325000</v>
      </c>
      <c r="G2" s="56">
        <f>LOG10(F2)</f>
        <v>5.5118833609788744</v>
      </c>
      <c r="I2" s="50">
        <v>0.39700000000000002</v>
      </c>
    </row>
    <row r="3" spans="1:12" x14ac:dyDescent="0.2">
      <c r="A3" s="51"/>
      <c r="B3" s="53"/>
      <c r="C3" s="29">
        <v>5</v>
      </c>
      <c r="D3" s="30">
        <v>10000</v>
      </c>
      <c r="E3" s="30">
        <f>C3*5*D3</f>
        <v>250000</v>
      </c>
      <c r="F3" s="55"/>
      <c r="G3" s="57"/>
      <c r="I3" s="50"/>
    </row>
    <row r="4" spans="1:12" x14ac:dyDescent="0.2">
      <c r="A4" s="51"/>
      <c r="B4" s="53"/>
      <c r="C4" s="29">
        <v>7</v>
      </c>
      <c r="D4" s="31">
        <v>10000</v>
      </c>
      <c r="E4" s="30">
        <f t="shared" ref="E4:E12" si="0">C4*5*D4</f>
        <v>350000</v>
      </c>
      <c r="F4" s="55"/>
      <c r="G4" s="57"/>
      <c r="I4" s="50"/>
    </row>
    <row r="5" spans="1:12" x14ac:dyDescent="0.2">
      <c r="A5" s="51"/>
      <c r="B5" s="54"/>
      <c r="C5" s="29">
        <v>8</v>
      </c>
      <c r="D5" s="31">
        <v>10000</v>
      </c>
      <c r="E5" s="30">
        <f t="shared" si="0"/>
        <v>400000</v>
      </c>
      <c r="F5" s="55"/>
      <c r="G5" s="57"/>
      <c r="I5" s="50"/>
    </row>
    <row r="6" spans="1:12" x14ac:dyDescent="0.2">
      <c r="A6" s="51"/>
      <c r="B6" s="58" t="s">
        <v>18</v>
      </c>
      <c r="C6" s="32">
        <v>3</v>
      </c>
      <c r="D6" s="30">
        <v>10000</v>
      </c>
      <c r="E6" s="30">
        <f t="shared" si="0"/>
        <v>150000</v>
      </c>
      <c r="F6" s="59">
        <f>AVERAGE(E6:E9)</f>
        <v>437500</v>
      </c>
      <c r="G6" s="60">
        <f>LOG10(F6)</f>
        <v>5.6409780573583319</v>
      </c>
      <c r="I6" s="50">
        <v>0.32</v>
      </c>
    </row>
    <row r="7" spans="1:12" x14ac:dyDescent="0.2">
      <c r="A7" s="51"/>
      <c r="B7" s="53"/>
      <c r="C7" s="32">
        <v>9</v>
      </c>
      <c r="D7" s="30">
        <v>10000</v>
      </c>
      <c r="E7" s="30">
        <f t="shared" si="0"/>
        <v>450000</v>
      </c>
      <c r="F7" s="59"/>
      <c r="G7" s="60"/>
      <c r="I7" s="50"/>
    </row>
    <row r="8" spans="1:12" x14ac:dyDescent="0.2">
      <c r="A8" s="51"/>
      <c r="B8" s="53"/>
      <c r="C8" s="32">
        <v>9</v>
      </c>
      <c r="D8" s="30">
        <v>10000</v>
      </c>
      <c r="E8" s="30">
        <f t="shared" si="0"/>
        <v>450000</v>
      </c>
      <c r="F8" s="59"/>
      <c r="G8" s="60"/>
      <c r="I8" s="50"/>
    </row>
    <row r="9" spans="1:12" ht="17" thickBot="1" x14ac:dyDescent="0.25">
      <c r="A9" s="51"/>
      <c r="B9" s="54"/>
      <c r="C9" s="32">
        <v>14</v>
      </c>
      <c r="D9" s="30">
        <v>10000</v>
      </c>
      <c r="E9" s="30">
        <f t="shared" si="0"/>
        <v>700000</v>
      </c>
      <c r="F9" s="59"/>
      <c r="G9" s="60"/>
      <c r="I9" s="50"/>
    </row>
    <row r="10" spans="1:12" x14ac:dyDescent="0.2">
      <c r="A10" s="51"/>
      <c r="B10" s="61" t="s">
        <v>17</v>
      </c>
      <c r="C10" s="32">
        <f>C2+C6</f>
        <v>9</v>
      </c>
      <c r="D10" s="33">
        <v>10000</v>
      </c>
      <c r="E10" s="30">
        <f t="shared" si="0"/>
        <v>450000</v>
      </c>
      <c r="F10" s="64">
        <f>AVERAGE(E10:E13)</f>
        <v>800000</v>
      </c>
      <c r="G10" s="66">
        <f>LOG10(F10)</f>
        <v>5.9030899869919438</v>
      </c>
      <c r="H10" s="69">
        <f>F2/F6</f>
        <v>0.74285714285714288</v>
      </c>
    </row>
    <row r="11" spans="1:12" x14ac:dyDescent="0.2">
      <c r="A11" s="51"/>
      <c r="B11" s="62"/>
      <c r="C11" s="32">
        <f>C4+C7</f>
        <v>16</v>
      </c>
      <c r="D11" s="34">
        <v>10000</v>
      </c>
      <c r="E11" s="30">
        <f t="shared" si="0"/>
        <v>800000</v>
      </c>
      <c r="F11" s="65"/>
      <c r="G11" s="67"/>
      <c r="H11" s="70"/>
    </row>
    <row r="12" spans="1:12" x14ac:dyDescent="0.2">
      <c r="A12" s="51"/>
      <c r="B12" s="62"/>
      <c r="C12" s="32">
        <f>C5+C8</f>
        <v>17</v>
      </c>
      <c r="D12" s="34">
        <v>10000</v>
      </c>
      <c r="E12" s="30">
        <f t="shared" si="0"/>
        <v>850000</v>
      </c>
      <c r="F12" s="65"/>
      <c r="G12" s="67"/>
      <c r="H12" s="70"/>
    </row>
    <row r="13" spans="1:12" ht="17" thickBot="1" x14ac:dyDescent="0.25">
      <c r="A13" s="41"/>
      <c r="B13" s="63"/>
      <c r="C13" s="35">
        <f>C5+C9</f>
        <v>22</v>
      </c>
      <c r="D13" s="36">
        <v>10000</v>
      </c>
      <c r="E13" s="37">
        <f>C13*5*D13</f>
        <v>1100000</v>
      </c>
      <c r="F13" s="63"/>
      <c r="G13" s="68"/>
      <c r="H13" s="71"/>
    </row>
    <row r="15" spans="1:12" s="19" customFormat="1" x14ac:dyDescent="0.2">
      <c r="L15" s="73"/>
    </row>
    <row r="16" spans="1:12" ht="51" customHeight="1" x14ac:dyDescent="0.2">
      <c r="A16" s="2" t="s">
        <v>28</v>
      </c>
      <c r="B16" s="48" t="s">
        <v>23</v>
      </c>
      <c r="C16" s="48"/>
      <c r="D16" s="6" t="s">
        <v>1</v>
      </c>
      <c r="E16" s="6" t="s">
        <v>4</v>
      </c>
      <c r="F16" s="6" t="s">
        <v>2</v>
      </c>
      <c r="G16" s="49" t="s">
        <v>29</v>
      </c>
      <c r="H16" s="49"/>
      <c r="I16" s="38" t="s">
        <v>19</v>
      </c>
      <c r="J16" s="6" t="s">
        <v>20</v>
      </c>
      <c r="K16" s="6" t="s">
        <v>21</v>
      </c>
      <c r="L16" s="74" t="s">
        <v>25</v>
      </c>
    </row>
    <row r="17" spans="1:12" x14ac:dyDescent="0.2">
      <c r="A17" s="4" t="s">
        <v>11</v>
      </c>
      <c r="B17">
        <v>8</v>
      </c>
      <c r="C17">
        <v>14</v>
      </c>
      <c r="D17">
        <f>AVERAGE(B17:C17)</f>
        <v>11</v>
      </c>
      <c r="E17" s="4">
        <v>10000</v>
      </c>
      <c r="F17" s="4">
        <f>1713.7-1700.4</f>
        <v>13.299999999999955</v>
      </c>
      <c r="G17" s="3">
        <v>9</v>
      </c>
      <c r="H17" s="3">
        <v>13</v>
      </c>
      <c r="I17" s="3">
        <v>1</v>
      </c>
      <c r="J17" s="3">
        <f>AVERAGE(G17:H17)</f>
        <v>11</v>
      </c>
      <c r="K17">
        <f>(I17*J17)/(D17*E17)</f>
        <v>1E-4</v>
      </c>
      <c r="L17" s="72">
        <f>K17/$H$10</f>
        <v>1.3461538461538461E-4</v>
      </c>
    </row>
    <row r="18" spans="1:12" x14ac:dyDescent="0.2">
      <c r="A18" s="4" t="s">
        <v>12</v>
      </c>
      <c r="B18">
        <v>23</v>
      </c>
      <c r="D18">
        <f t="shared" ref="D18:D21" si="1">AVERAGE(B18:C18)</f>
        <v>23</v>
      </c>
      <c r="E18" s="4">
        <v>100000</v>
      </c>
      <c r="F18" s="4">
        <f>1832.6-1794.1</f>
        <v>38.5</v>
      </c>
      <c r="G18" s="3">
        <v>2</v>
      </c>
      <c r="H18" s="3"/>
      <c r="I18" s="3">
        <v>1</v>
      </c>
      <c r="J18" s="3">
        <f>AVERAGE(G18:H18)</f>
        <v>2</v>
      </c>
      <c r="K18">
        <f>(I18*J18)/(D18*E18)</f>
        <v>8.6956521739130438E-7</v>
      </c>
      <c r="L18" s="72">
        <f t="shared" ref="L18:L21" si="2">K18/$H$10</f>
        <v>1.1705685618729096E-6</v>
      </c>
    </row>
    <row r="19" spans="1:12" x14ac:dyDescent="0.2">
      <c r="A19" s="4" t="s">
        <v>9</v>
      </c>
      <c r="B19">
        <v>61</v>
      </c>
      <c r="D19">
        <f t="shared" si="1"/>
        <v>61</v>
      </c>
      <c r="E19" s="4">
        <v>100000</v>
      </c>
      <c r="F19" s="4">
        <f>1756.3-1733.5</f>
        <v>22.799999999999955</v>
      </c>
      <c r="G19" s="3">
        <v>4</v>
      </c>
      <c r="H19" s="3"/>
      <c r="I19" s="3">
        <v>10</v>
      </c>
      <c r="J19" s="3">
        <f t="shared" ref="J19:J21" si="3">AVERAGE(G19:H19)</f>
        <v>4</v>
      </c>
      <c r="K19">
        <f>(I19*J19)/(D19*E19)</f>
        <v>6.5573770491803276E-6</v>
      </c>
      <c r="L19" s="72">
        <f t="shared" si="2"/>
        <v>8.8272383354350554E-6</v>
      </c>
    </row>
    <row r="20" spans="1:12" x14ac:dyDescent="0.2">
      <c r="A20" s="4" t="s">
        <v>14</v>
      </c>
      <c r="B20">
        <v>9</v>
      </c>
      <c r="D20">
        <f t="shared" si="1"/>
        <v>9</v>
      </c>
      <c r="E20" s="4">
        <v>1000</v>
      </c>
      <c r="F20" s="4">
        <f>1809.4-1739.6</f>
        <v>69.800000000000182</v>
      </c>
      <c r="G20" s="3">
        <v>0</v>
      </c>
      <c r="H20" s="3"/>
      <c r="I20" s="3">
        <v>1</v>
      </c>
      <c r="J20" s="3">
        <f t="shared" si="3"/>
        <v>0</v>
      </c>
      <c r="K20">
        <f>(I20*J20)/(D20*E20)</f>
        <v>0</v>
      </c>
      <c r="L20" s="72">
        <f t="shared" si="2"/>
        <v>0</v>
      </c>
    </row>
    <row r="21" spans="1:12" ht="17" x14ac:dyDescent="0.2">
      <c r="A21" s="6" t="s">
        <v>13</v>
      </c>
      <c r="B21" s="7">
        <v>12</v>
      </c>
      <c r="C21" s="7"/>
      <c r="D21">
        <f t="shared" si="1"/>
        <v>12</v>
      </c>
      <c r="E21" s="6">
        <v>1</v>
      </c>
      <c r="F21" s="6">
        <f>1828.2-1718.8</f>
        <v>109.40000000000009</v>
      </c>
      <c r="G21" s="3">
        <v>0</v>
      </c>
      <c r="H21" s="3"/>
      <c r="I21" s="3">
        <v>1</v>
      </c>
      <c r="J21" s="3">
        <f t="shared" si="3"/>
        <v>0</v>
      </c>
      <c r="K21">
        <f>(I21*J21)/(D21*E21)</f>
        <v>0</v>
      </c>
      <c r="L21" s="72">
        <f t="shared" si="2"/>
        <v>0</v>
      </c>
    </row>
    <row r="23" spans="1:12" ht="51" x14ac:dyDescent="0.2">
      <c r="A23" s="2" t="s">
        <v>30</v>
      </c>
      <c r="B23" s="48" t="s">
        <v>23</v>
      </c>
      <c r="C23" s="48"/>
      <c r="D23" s="6" t="s">
        <v>1</v>
      </c>
      <c r="E23" s="6" t="s">
        <v>4</v>
      </c>
      <c r="F23" s="6" t="s">
        <v>2</v>
      </c>
      <c r="G23" s="49" t="s">
        <v>24</v>
      </c>
      <c r="H23" s="49"/>
      <c r="I23" s="38" t="s">
        <v>19</v>
      </c>
      <c r="J23" s="6" t="s">
        <v>20</v>
      </c>
      <c r="K23" s="6" t="s">
        <v>21</v>
      </c>
      <c r="L23" s="74" t="s">
        <v>22</v>
      </c>
    </row>
    <row r="24" spans="1:12" x14ac:dyDescent="0.2">
      <c r="A24" s="4" t="s">
        <v>11</v>
      </c>
      <c r="B24">
        <v>17</v>
      </c>
      <c r="C24">
        <v>9</v>
      </c>
      <c r="D24">
        <f>AVERAGE(B24:C24)</f>
        <v>13</v>
      </c>
      <c r="E24" s="4">
        <v>10000</v>
      </c>
      <c r="F24" s="4">
        <f>1828.3-1804.8</f>
        <v>23.5</v>
      </c>
      <c r="G24" s="3">
        <v>46</v>
      </c>
      <c r="H24" s="3">
        <v>67</v>
      </c>
      <c r="I24" s="3">
        <v>1</v>
      </c>
      <c r="J24" s="3">
        <f>AVERAGE(G24:H24)</f>
        <v>56.5</v>
      </c>
      <c r="K24">
        <f>(I24*J24)/(D24*E24)</f>
        <v>4.3461538461538464E-4</v>
      </c>
      <c r="L24" s="72">
        <f>K24/$H$10</f>
        <v>5.850591715976331E-4</v>
      </c>
    </row>
    <row r="25" spans="1:12" x14ac:dyDescent="0.2">
      <c r="A25" s="4" t="s">
        <v>12</v>
      </c>
      <c r="B25">
        <v>23</v>
      </c>
      <c r="D25">
        <f t="shared" ref="D25:D28" si="4">AVERAGE(B25:C25)</f>
        <v>23</v>
      </c>
      <c r="E25" s="4">
        <v>10000</v>
      </c>
      <c r="F25" s="4">
        <f>1814.1-1798.4</f>
        <v>15.699999999999818</v>
      </c>
      <c r="G25" s="3">
        <v>36</v>
      </c>
      <c r="H25" s="3"/>
      <c r="I25" s="3">
        <v>1</v>
      </c>
      <c r="J25" s="3">
        <f t="shared" ref="J25:J28" si="5">AVERAGE(G25:H25)</f>
        <v>36</v>
      </c>
      <c r="K25">
        <f>(I25*J25)/(D25*E25)</f>
        <v>1.565217391304348E-4</v>
      </c>
      <c r="L25" s="72">
        <f t="shared" ref="L25:L28" si="6">K25/$H$10</f>
        <v>2.1070234113712376E-4</v>
      </c>
    </row>
    <row r="26" spans="1:12" x14ac:dyDescent="0.2">
      <c r="A26" s="4" t="s">
        <v>9</v>
      </c>
      <c r="B26">
        <v>9</v>
      </c>
      <c r="D26">
        <f t="shared" si="4"/>
        <v>9</v>
      </c>
      <c r="E26" s="4">
        <v>10000</v>
      </c>
      <c r="F26" s="4">
        <f>1760.6-1741.6</f>
        <v>19</v>
      </c>
      <c r="G26" s="3">
        <v>8</v>
      </c>
      <c r="H26" s="3"/>
      <c r="I26" s="3">
        <v>1</v>
      </c>
      <c r="J26" s="3">
        <f t="shared" si="5"/>
        <v>8</v>
      </c>
      <c r="K26">
        <f>(I26*J26)/(D26*E26)</f>
        <v>8.8888888888888893E-5</v>
      </c>
      <c r="L26" s="72">
        <f t="shared" si="6"/>
        <v>1.1965811965811966E-4</v>
      </c>
    </row>
    <row r="27" spans="1:12" x14ac:dyDescent="0.2">
      <c r="A27" s="4" t="s">
        <v>14</v>
      </c>
      <c r="B27">
        <v>16</v>
      </c>
      <c r="D27">
        <f t="shared" si="4"/>
        <v>16</v>
      </c>
      <c r="E27" s="4">
        <v>10</v>
      </c>
      <c r="F27" s="4">
        <f>1871.8-1793.2</f>
        <v>78.599999999999909</v>
      </c>
      <c r="G27" s="3">
        <v>0</v>
      </c>
      <c r="H27" s="3"/>
      <c r="I27" s="3">
        <v>1</v>
      </c>
      <c r="J27" s="3">
        <f t="shared" si="5"/>
        <v>0</v>
      </c>
      <c r="K27">
        <f>(I27*J27)/(D27*E27)</f>
        <v>0</v>
      </c>
      <c r="L27" s="72">
        <f t="shared" si="6"/>
        <v>0</v>
      </c>
    </row>
    <row r="28" spans="1:12" ht="17" x14ac:dyDescent="0.2">
      <c r="A28" s="6" t="s">
        <v>13</v>
      </c>
      <c r="B28" s="7">
        <v>19</v>
      </c>
      <c r="C28" s="7"/>
      <c r="D28">
        <f t="shared" si="4"/>
        <v>19</v>
      </c>
      <c r="E28" s="6">
        <v>1</v>
      </c>
      <c r="F28" s="6">
        <f>1894.6-1789.7</f>
        <v>104.89999999999986</v>
      </c>
      <c r="G28" s="3">
        <v>0</v>
      </c>
      <c r="H28" s="3"/>
      <c r="I28" s="3">
        <v>1</v>
      </c>
      <c r="J28" s="3">
        <f t="shared" si="5"/>
        <v>0</v>
      </c>
      <c r="K28">
        <f>(I28*J28)/(D28*E28)</f>
        <v>0</v>
      </c>
      <c r="L28" s="72">
        <f t="shared" si="6"/>
        <v>0</v>
      </c>
    </row>
    <row r="30" spans="1:12" ht="51" x14ac:dyDescent="0.2">
      <c r="A30" s="2" t="s">
        <v>31</v>
      </c>
      <c r="B30" s="48" t="s">
        <v>23</v>
      </c>
      <c r="C30" s="48"/>
      <c r="D30" s="6" t="s">
        <v>1</v>
      </c>
      <c r="E30" s="6" t="s">
        <v>4</v>
      </c>
      <c r="F30" s="6" t="s">
        <v>2</v>
      </c>
      <c r="G30" s="49" t="s">
        <v>24</v>
      </c>
      <c r="H30" s="49"/>
      <c r="I30" s="38" t="s">
        <v>19</v>
      </c>
      <c r="J30" s="6" t="s">
        <v>20</v>
      </c>
      <c r="K30" s="6" t="s">
        <v>21</v>
      </c>
      <c r="L30" s="74" t="s">
        <v>22</v>
      </c>
    </row>
    <row r="31" spans="1:12" x14ac:dyDescent="0.2">
      <c r="A31" s="4" t="s">
        <v>11</v>
      </c>
      <c r="B31">
        <v>20</v>
      </c>
      <c r="C31">
        <v>17</v>
      </c>
      <c r="D31">
        <f>AVERAGE(B31:C31)</f>
        <v>18.5</v>
      </c>
      <c r="E31" s="4">
        <v>10</v>
      </c>
      <c r="F31" s="4">
        <f>1740.5-1721.1</f>
        <v>19.400000000000091</v>
      </c>
      <c r="G31" s="3">
        <v>3</v>
      </c>
      <c r="H31" s="3">
        <v>4</v>
      </c>
      <c r="I31" s="3">
        <v>10</v>
      </c>
      <c r="J31" s="3">
        <f>AVERAGE(G31:H31)</f>
        <v>3.5</v>
      </c>
      <c r="K31">
        <f>(I31*J31)/(D31*E31)</f>
        <v>0.1891891891891892</v>
      </c>
      <c r="L31" s="72">
        <f>K31/$H$10</f>
        <v>0.25467775467775466</v>
      </c>
    </row>
    <row r="32" spans="1:12" x14ac:dyDescent="0.2">
      <c r="A32" s="4" t="s">
        <v>12</v>
      </c>
      <c r="B32">
        <v>30</v>
      </c>
      <c r="C32">
        <v>26</v>
      </c>
      <c r="D32">
        <f t="shared" ref="D32:D35" si="7">AVERAGE(B32:C32)</f>
        <v>28</v>
      </c>
      <c r="E32" s="4">
        <v>10</v>
      </c>
      <c r="F32" s="4">
        <f>1755.6-1715.5</f>
        <v>40.099999999999909</v>
      </c>
      <c r="G32" s="3">
        <v>0</v>
      </c>
      <c r="H32" s="3">
        <v>1</v>
      </c>
      <c r="I32" s="3">
        <v>1</v>
      </c>
      <c r="J32" s="3">
        <f t="shared" ref="J32:J35" si="8">AVERAGE(G32:H32)</f>
        <v>0.5</v>
      </c>
      <c r="K32">
        <f>(I32*J32)/(D32*E32)</f>
        <v>1.7857142857142857E-3</v>
      </c>
      <c r="L32" s="72">
        <f t="shared" ref="L32:L35" si="9">K32/$H$10</f>
        <v>2.4038461538461535E-3</v>
      </c>
    </row>
    <row r="33" spans="1:12" x14ac:dyDescent="0.2">
      <c r="A33" s="4" t="s">
        <v>9</v>
      </c>
      <c r="B33">
        <v>30</v>
      </c>
      <c r="D33">
        <f t="shared" si="7"/>
        <v>30</v>
      </c>
      <c r="E33" s="4">
        <v>10</v>
      </c>
      <c r="F33" s="4">
        <f>1874.7-1797.2</f>
        <v>77.5</v>
      </c>
      <c r="G33" s="3">
        <v>2</v>
      </c>
      <c r="H33" s="3"/>
      <c r="I33" s="3">
        <v>1</v>
      </c>
      <c r="J33" s="3">
        <f t="shared" si="8"/>
        <v>2</v>
      </c>
      <c r="K33">
        <f>(I33*J33)/(D33*E33)</f>
        <v>6.6666666666666671E-3</v>
      </c>
      <c r="L33" s="72">
        <f t="shared" si="9"/>
        <v>8.9743589743589754E-3</v>
      </c>
    </row>
    <row r="34" spans="1:12" x14ac:dyDescent="0.2">
      <c r="A34" s="4" t="s">
        <v>14</v>
      </c>
      <c r="B34">
        <v>34</v>
      </c>
      <c r="D34">
        <f t="shared" si="7"/>
        <v>34</v>
      </c>
      <c r="E34" s="4">
        <v>1</v>
      </c>
      <c r="F34" s="4">
        <f>1780.9-1711.1</f>
        <v>69.800000000000182</v>
      </c>
      <c r="G34" s="3">
        <v>0</v>
      </c>
      <c r="H34" s="3"/>
      <c r="I34" s="3">
        <v>1</v>
      </c>
      <c r="J34" s="3">
        <f t="shared" si="8"/>
        <v>0</v>
      </c>
      <c r="K34">
        <f>(I34*J34)/(D34*E34)</f>
        <v>0</v>
      </c>
      <c r="L34" s="72">
        <f t="shared" si="9"/>
        <v>0</v>
      </c>
    </row>
    <row r="35" spans="1:12" ht="17" x14ac:dyDescent="0.2">
      <c r="A35" s="6" t="s">
        <v>13</v>
      </c>
      <c r="B35" s="7">
        <v>19</v>
      </c>
      <c r="C35" s="7"/>
      <c r="D35">
        <f t="shared" si="7"/>
        <v>19</v>
      </c>
      <c r="E35" s="6">
        <v>1</v>
      </c>
      <c r="F35" s="6">
        <f>1824.3-1718</f>
        <v>106.29999999999995</v>
      </c>
      <c r="G35" s="3">
        <v>0</v>
      </c>
      <c r="H35" s="3"/>
      <c r="I35" s="3">
        <v>1</v>
      </c>
      <c r="J35" s="3">
        <f t="shared" si="8"/>
        <v>0</v>
      </c>
      <c r="K35">
        <f>(I35*J35)/(D35*E35)</f>
        <v>0</v>
      </c>
      <c r="L35" s="72">
        <f t="shared" si="9"/>
        <v>0</v>
      </c>
    </row>
    <row r="37" spans="1:12" ht="51" x14ac:dyDescent="0.2">
      <c r="A37" s="2" t="s">
        <v>32</v>
      </c>
      <c r="B37" s="48" t="s">
        <v>23</v>
      </c>
      <c r="C37" s="48"/>
      <c r="D37" s="6" t="s">
        <v>1</v>
      </c>
      <c r="E37" s="6" t="s">
        <v>4</v>
      </c>
      <c r="F37" s="6" t="s">
        <v>2</v>
      </c>
      <c r="G37" s="49" t="s">
        <v>24</v>
      </c>
      <c r="H37" s="49"/>
      <c r="I37" s="38" t="s">
        <v>19</v>
      </c>
      <c r="J37" s="6" t="s">
        <v>20</v>
      </c>
      <c r="K37" s="6" t="s">
        <v>21</v>
      </c>
      <c r="L37" s="74" t="s">
        <v>22</v>
      </c>
    </row>
    <row r="38" spans="1:12" x14ac:dyDescent="0.2">
      <c r="A38" s="4" t="s">
        <v>11</v>
      </c>
      <c r="B38">
        <v>34</v>
      </c>
      <c r="C38">
        <v>24</v>
      </c>
      <c r="D38">
        <f>AVERAGE(B38:C38)</f>
        <v>29</v>
      </c>
      <c r="E38" s="4">
        <v>10000</v>
      </c>
      <c r="F38" s="4">
        <f>1761.6-1717.8</f>
        <v>43.799999999999955</v>
      </c>
      <c r="G38" s="3">
        <v>15</v>
      </c>
      <c r="H38" s="3">
        <v>10</v>
      </c>
      <c r="I38" s="3">
        <v>1000</v>
      </c>
      <c r="J38" s="3">
        <f>AVERAGE(G38:H38)</f>
        <v>12.5</v>
      </c>
      <c r="K38">
        <f>(I38*J38)/(D38*E38)</f>
        <v>4.3103448275862072E-2</v>
      </c>
      <c r="L38" s="72">
        <f>K38/$H$10</f>
        <v>5.8023872679045095E-2</v>
      </c>
    </row>
    <row r="39" spans="1:12" x14ac:dyDescent="0.2">
      <c r="A39" s="4" t="s">
        <v>12</v>
      </c>
      <c r="B39">
        <v>46</v>
      </c>
      <c r="C39">
        <v>46</v>
      </c>
      <c r="D39">
        <f t="shared" ref="D39:D42" si="10">AVERAGE(B39:C39)</f>
        <v>46</v>
      </c>
      <c r="E39" s="4">
        <v>10000</v>
      </c>
      <c r="F39" s="4">
        <f>1804.1-1778.4</f>
        <v>25.699999999999818</v>
      </c>
      <c r="G39" s="3">
        <v>19</v>
      </c>
      <c r="H39" s="3">
        <v>22</v>
      </c>
      <c r="I39" s="3">
        <v>100</v>
      </c>
      <c r="J39" s="3">
        <f t="shared" ref="J39:J42" si="11">AVERAGE(G39:H39)</f>
        <v>20.5</v>
      </c>
      <c r="K39">
        <f>(I39*J39)/(D39*E39)</f>
        <v>4.4565217391304346E-3</v>
      </c>
      <c r="L39" s="72">
        <f t="shared" ref="L39:L42" si="12">K39/$H$10</f>
        <v>5.9991638795986613E-3</v>
      </c>
    </row>
    <row r="40" spans="1:12" x14ac:dyDescent="0.2">
      <c r="A40" s="4" t="s">
        <v>9</v>
      </c>
      <c r="B40">
        <v>52</v>
      </c>
      <c r="D40">
        <f t="shared" si="10"/>
        <v>52</v>
      </c>
      <c r="E40" s="4">
        <v>1000</v>
      </c>
      <c r="F40" s="4">
        <f>1800.1-1730.9</f>
        <v>69.199999999999818</v>
      </c>
      <c r="G40" s="3">
        <v>7</v>
      </c>
      <c r="H40" s="3"/>
      <c r="I40" s="3">
        <v>100</v>
      </c>
      <c r="J40" s="3">
        <f t="shared" si="11"/>
        <v>7</v>
      </c>
      <c r="K40">
        <f>(I40*J40)/(D40*E40)</f>
        <v>1.3461538461538462E-2</v>
      </c>
      <c r="L40" s="72">
        <f t="shared" si="12"/>
        <v>1.8121301775147928E-2</v>
      </c>
    </row>
    <row r="41" spans="1:12" x14ac:dyDescent="0.2">
      <c r="A41" s="4" t="s">
        <v>14</v>
      </c>
      <c r="B41">
        <v>38</v>
      </c>
      <c r="D41">
        <f t="shared" si="10"/>
        <v>38</v>
      </c>
      <c r="E41" s="4">
        <v>1</v>
      </c>
      <c r="F41" s="4">
        <f>1884.8-1795.3</f>
        <v>89.5</v>
      </c>
      <c r="G41" s="3">
        <v>0</v>
      </c>
      <c r="H41" s="3"/>
      <c r="I41" s="3">
        <v>1</v>
      </c>
      <c r="J41" s="3">
        <f t="shared" si="11"/>
        <v>0</v>
      </c>
      <c r="K41">
        <f>(I41*J41)/(D41*E41)</f>
        <v>0</v>
      </c>
      <c r="L41" s="72">
        <f t="shared" si="12"/>
        <v>0</v>
      </c>
    </row>
    <row r="42" spans="1:12" ht="17" x14ac:dyDescent="0.2">
      <c r="A42" s="6" t="s">
        <v>13</v>
      </c>
      <c r="B42" s="7">
        <v>11</v>
      </c>
      <c r="C42" s="7"/>
      <c r="D42">
        <f t="shared" si="10"/>
        <v>11</v>
      </c>
      <c r="E42" s="6">
        <v>1</v>
      </c>
      <c r="F42" s="6">
        <f>1776.9-1721.3</f>
        <v>55.600000000000136</v>
      </c>
      <c r="G42" s="3">
        <v>1</v>
      </c>
      <c r="H42" s="3"/>
      <c r="I42" s="3">
        <v>1</v>
      </c>
      <c r="J42" s="3">
        <f t="shared" si="11"/>
        <v>1</v>
      </c>
      <c r="K42">
        <f>(I42*J42)/(D42*E42)</f>
        <v>9.0909090909090912E-2</v>
      </c>
      <c r="L42" s="72">
        <f t="shared" si="12"/>
        <v>0.12237762237762238</v>
      </c>
    </row>
    <row r="44" spans="1:12" ht="51" x14ac:dyDescent="0.2">
      <c r="A44" s="2" t="s">
        <v>33</v>
      </c>
      <c r="B44" s="48" t="s">
        <v>23</v>
      </c>
      <c r="C44" s="48"/>
      <c r="D44" s="6" t="s">
        <v>1</v>
      </c>
      <c r="E44" s="6" t="s">
        <v>4</v>
      </c>
      <c r="F44" s="6" t="s">
        <v>2</v>
      </c>
      <c r="G44" s="49" t="s">
        <v>24</v>
      </c>
      <c r="H44" s="49"/>
      <c r="I44" s="38" t="s">
        <v>19</v>
      </c>
      <c r="J44" s="6" t="s">
        <v>20</v>
      </c>
      <c r="K44" s="6" t="s">
        <v>21</v>
      </c>
      <c r="L44" s="74" t="s">
        <v>22</v>
      </c>
    </row>
    <row r="45" spans="1:12" x14ac:dyDescent="0.2">
      <c r="A45" s="4" t="s">
        <v>11</v>
      </c>
      <c r="B45">
        <v>53</v>
      </c>
      <c r="C45">
        <v>54</v>
      </c>
      <c r="D45">
        <f>AVERAGE(B45:C45)</f>
        <v>53.5</v>
      </c>
      <c r="E45" s="4">
        <v>1000</v>
      </c>
      <c r="F45" s="4">
        <f>1889.3-1864.9</f>
        <v>24.399999999999864</v>
      </c>
      <c r="G45" s="3">
        <v>7</v>
      </c>
      <c r="H45" s="3">
        <v>2</v>
      </c>
      <c r="I45" s="3">
        <v>1</v>
      </c>
      <c r="J45" s="3">
        <f>AVERAGE(G45:H45)</f>
        <v>4.5</v>
      </c>
      <c r="K45">
        <f>(I45*J45)/(D45*E45)</f>
        <v>8.4112149532710281E-5</v>
      </c>
      <c r="L45" s="72">
        <f>K45/$H$10</f>
        <v>1.1322789360172538E-4</v>
      </c>
    </row>
    <row r="46" spans="1:12" x14ac:dyDescent="0.2">
      <c r="A46" s="4" t="s">
        <v>12</v>
      </c>
      <c r="B46">
        <v>29</v>
      </c>
      <c r="D46">
        <f t="shared" ref="D46:D49" si="13">AVERAGE(B46:C46)</f>
        <v>29</v>
      </c>
      <c r="E46" s="4">
        <v>10000</v>
      </c>
      <c r="F46" s="4">
        <f>1764-1738.1</f>
        <v>25.900000000000091</v>
      </c>
      <c r="G46" s="3">
        <v>4</v>
      </c>
      <c r="H46" s="3"/>
      <c r="I46" s="3">
        <v>1</v>
      </c>
      <c r="J46" s="3">
        <f t="shared" ref="J46:J49" si="14">AVERAGE(G46:H46)</f>
        <v>4</v>
      </c>
      <c r="K46">
        <f>(I46*J46)/(D46*E46)</f>
        <v>1.3793103448275862E-5</v>
      </c>
      <c r="L46" s="72">
        <f t="shared" ref="L46:L49" si="15">K46/$H$10</f>
        <v>1.8567639257294428E-5</v>
      </c>
    </row>
    <row r="47" spans="1:12" x14ac:dyDescent="0.2">
      <c r="A47" s="4" t="s">
        <v>9</v>
      </c>
      <c r="B47">
        <v>25</v>
      </c>
      <c r="D47">
        <f t="shared" si="13"/>
        <v>25</v>
      </c>
      <c r="E47" s="4">
        <v>10000</v>
      </c>
      <c r="F47" s="4">
        <f>1821.1-1795.5</f>
        <v>25.599999999999909</v>
      </c>
      <c r="G47" s="3">
        <v>2</v>
      </c>
      <c r="H47" s="3"/>
      <c r="I47" s="3">
        <v>1</v>
      </c>
      <c r="J47" s="3">
        <f t="shared" si="14"/>
        <v>2</v>
      </c>
      <c r="K47">
        <f>(I47*J47)/(D47*E47)</f>
        <v>7.9999999999999996E-6</v>
      </c>
      <c r="L47" s="72">
        <f t="shared" si="15"/>
        <v>1.0769230769230768E-5</v>
      </c>
    </row>
    <row r="48" spans="1:12" x14ac:dyDescent="0.2">
      <c r="A48" s="4" t="s">
        <v>53</v>
      </c>
      <c r="D48" t="e">
        <f t="shared" si="13"/>
        <v>#DIV/0!</v>
      </c>
      <c r="E48" s="4"/>
      <c r="F48" s="4">
        <f>1745.5-1720</f>
        <v>25.5</v>
      </c>
      <c r="G48" s="3"/>
      <c r="H48" s="3"/>
      <c r="I48" s="3"/>
      <c r="J48" s="3" t="e">
        <f t="shared" si="14"/>
        <v>#DIV/0!</v>
      </c>
      <c r="K48" t="e">
        <f>(I48*J48)/(D48*E48)</f>
        <v>#DIV/0!</v>
      </c>
      <c r="L48" s="72" t="e">
        <f t="shared" si="15"/>
        <v>#DIV/0!</v>
      </c>
    </row>
    <row r="49" spans="1:12" ht="17" x14ac:dyDescent="0.2">
      <c r="A49" s="6" t="s">
        <v>13</v>
      </c>
      <c r="B49" s="7">
        <v>2</v>
      </c>
      <c r="C49" s="7"/>
      <c r="D49">
        <f t="shared" si="13"/>
        <v>2</v>
      </c>
      <c r="E49" s="6">
        <v>1</v>
      </c>
      <c r="F49" s="6">
        <f>1876.5-1790.8</f>
        <v>85.700000000000045</v>
      </c>
      <c r="G49" s="3">
        <v>0</v>
      </c>
      <c r="H49" s="3"/>
      <c r="I49" s="3">
        <v>1</v>
      </c>
      <c r="J49" s="3">
        <f t="shared" si="14"/>
        <v>0</v>
      </c>
      <c r="K49">
        <f>(I49*J49)/(D49*E49)</f>
        <v>0</v>
      </c>
      <c r="L49" s="72">
        <f t="shared" si="15"/>
        <v>0</v>
      </c>
    </row>
  </sheetData>
  <mergeCells count="23">
    <mergeCell ref="I2:I5"/>
    <mergeCell ref="I6:I9"/>
    <mergeCell ref="A2:A13"/>
    <mergeCell ref="B2:B5"/>
    <mergeCell ref="F2:F5"/>
    <mergeCell ref="G2:G5"/>
    <mergeCell ref="B6:B9"/>
    <mergeCell ref="F6:F9"/>
    <mergeCell ref="G6:G9"/>
    <mergeCell ref="B10:B13"/>
    <mergeCell ref="F10:F13"/>
    <mergeCell ref="G10:G13"/>
    <mergeCell ref="H10:H13"/>
    <mergeCell ref="B37:C37"/>
    <mergeCell ref="G37:H37"/>
    <mergeCell ref="B44:C44"/>
    <mergeCell ref="G44:H44"/>
    <mergeCell ref="B16:C16"/>
    <mergeCell ref="G16:H16"/>
    <mergeCell ref="B23:C23"/>
    <mergeCell ref="G23:H23"/>
    <mergeCell ref="B30:C30"/>
    <mergeCell ref="G30:H3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indiv doses</vt:lpstr>
      <vt:lpstr>indiv carriage</vt:lpstr>
      <vt:lpstr>48 12LacZ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Marine Burlat</cp:lastModifiedBy>
  <dcterms:created xsi:type="dcterms:W3CDTF">2019-08-28T20:54:54Z</dcterms:created>
  <dcterms:modified xsi:type="dcterms:W3CDTF">2023-11-07T17:37:02Z</dcterms:modified>
</cp:coreProperties>
</file>