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1/Mouse Colonization/"/>
    </mc:Choice>
  </mc:AlternateContent>
  <xr:revisionPtr revIDLastSave="0" documentId="13_ncr:1_{1C77AF94-9431-B149-8C68-B56AE6B2ADD9}" xr6:coauthVersionLast="47" xr6:coauthVersionMax="47" xr10:uidLastSave="{00000000-0000-0000-0000-000000000000}"/>
  <bookViews>
    <workbookView xWindow="0" yWindow="500" windowWidth="28800" windowHeight="17500" activeTab="1" xr2:uid="{05D28018-5EC7-B748-ACA7-09DD0AD3B70C}"/>
  </bookViews>
  <sheets>
    <sheet name="dose" sheetId="4" r:id="rId1"/>
    <sheet name="aerobic vs anaerobic " sheetId="6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0" i="6" l="1"/>
  <c r="F48" i="6" s="1"/>
  <c r="F19" i="6"/>
  <c r="F18" i="6"/>
  <c r="F46" i="6" s="1"/>
  <c r="F17" i="6"/>
  <c r="F45" i="6" s="1"/>
  <c r="F16" i="6"/>
  <c r="F44" i="6" s="1"/>
  <c r="F13" i="6"/>
  <c r="F41" i="6" s="1"/>
  <c r="F12" i="6"/>
  <c r="F11" i="6"/>
  <c r="F10" i="6"/>
  <c r="F38" i="6" s="1"/>
  <c r="F9" i="6"/>
  <c r="F37" i="6" s="1"/>
  <c r="F6" i="6"/>
  <c r="F5" i="6"/>
  <c r="F33" i="6" s="1"/>
  <c r="F4" i="6"/>
  <c r="F32" i="6" s="1"/>
  <c r="F3" i="6"/>
  <c r="F31" i="6" s="1"/>
  <c r="F47" i="6"/>
  <c r="F39" i="6"/>
  <c r="F40" i="6"/>
  <c r="F34" i="6"/>
  <c r="F30" i="6"/>
  <c r="F2" i="6"/>
  <c r="D12" i="6" l="1"/>
  <c r="S6" i="6" l="1"/>
  <c r="T6" i="6" s="1"/>
  <c r="U6" i="6" s="1"/>
  <c r="V6" i="6" s="1"/>
  <c r="S5" i="6"/>
  <c r="T5" i="6" s="1"/>
  <c r="U5" i="6" s="1"/>
  <c r="V5" i="6" s="1"/>
  <c r="S4" i="6"/>
  <c r="T4" i="6" s="1"/>
  <c r="U4" i="6" s="1"/>
  <c r="V4" i="6" s="1"/>
  <c r="S3" i="6"/>
  <c r="T3" i="6" s="1"/>
  <c r="U3" i="6" s="1"/>
  <c r="V3" i="6" s="1"/>
  <c r="S2" i="6"/>
  <c r="T2" i="6" s="1"/>
  <c r="U2" i="6" s="1"/>
  <c r="V2" i="6" s="1"/>
  <c r="D48" i="6"/>
  <c r="D47" i="6"/>
  <c r="D46" i="6"/>
  <c r="G46" i="6" s="1"/>
  <c r="D45" i="6"/>
  <c r="G45" i="6" s="1"/>
  <c r="D44" i="6"/>
  <c r="G44" i="6" s="1"/>
  <c r="D41" i="6"/>
  <c r="D40" i="6"/>
  <c r="G40" i="6" s="1"/>
  <c r="D39" i="6"/>
  <c r="G39" i="6" s="1"/>
  <c r="D38" i="6"/>
  <c r="D37" i="6"/>
  <c r="D34" i="6"/>
  <c r="D33" i="6"/>
  <c r="D32" i="6"/>
  <c r="G32" i="6" s="1"/>
  <c r="D31" i="6"/>
  <c r="G31" i="6" s="1"/>
  <c r="D30" i="6"/>
  <c r="G30" i="6" s="1"/>
  <c r="D20" i="6"/>
  <c r="G20" i="6" s="1"/>
  <c r="D19" i="6"/>
  <c r="G19" i="6" s="1"/>
  <c r="D18" i="6"/>
  <c r="G18" i="6" s="1"/>
  <c r="D17" i="6"/>
  <c r="G17" i="6" s="1"/>
  <c r="D16" i="6"/>
  <c r="G16" i="6" s="1"/>
  <c r="D13" i="6"/>
  <c r="G13" i="6" s="1"/>
  <c r="G12" i="6"/>
  <c r="D11" i="6"/>
  <c r="D10" i="6"/>
  <c r="G10" i="6" s="1"/>
  <c r="D9" i="6"/>
  <c r="G9" i="6" s="1"/>
  <c r="D6" i="6"/>
  <c r="G6" i="6" s="1"/>
  <c r="D5" i="6"/>
  <c r="G5" i="6" s="1"/>
  <c r="D4" i="6"/>
  <c r="G4" i="6" s="1"/>
  <c r="D3" i="6"/>
  <c r="D2" i="6"/>
  <c r="G2" i="6" s="1"/>
  <c r="G47" i="6" l="1"/>
  <c r="G37" i="6"/>
  <c r="G38" i="6"/>
  <c r="G33" i="6"/>
  <c r="G3" i="6"/>
  <c r="G34" i="6"/>
  <c r="G11" i="6"/>
  <c r="G48" i="6"/>
  <c r="G41" i="6"/>
  <c r="L3" i="4" l="1"/>
  <c r="L2" i="4"/>
  <c r="M2" i="4" l="1"/>
  <c r="N2" i="4" s="1"/>
</calcChain>
</file>

<file path=xl/sharedStrings.xml><?xml version="1.0" encoding="utf-8"?>
<sst xmlns="http://schemas.openxmlformats.org/spreadsheetml/2006/main" count="78" uniqueCount="28">
  <si>
    <t>number of CFU (not diluted)</t>
  </si>
  <si>
    <t>mean in 10 µL</t>
  </si>
  <si>
    <t>feces weights (mg)</t>
  </si>
  <si>
    <t>Log10 CFU/g of feces</t>
  </si>
  <si>
    <t>Dilution factor</t>
  </si>
  <si>
    <t>Strain</t>
  </si>
  <si>
    <t>Slope</t>
  </si>
  <si>
    <t>Intercept</t>
  </si>
  <si>
    <r>
      <t>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</si>
  <si>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r>
      <t>OD 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</si>
  <si>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</si>
  <si>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</si>
  <si>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</si>
  <si>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</si>
  <si>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</si>
  <si>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</si>
  <si>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</si>
  <si>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</si>
  <si>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</si>
  <si>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</si>
  <si>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 reached</t>
  </si>
  <si>
    <t>BL048 10^6 LB (LB irg5 plates)</t>
  </si>
  <si>
    <t>BL048 aerobic 10^6 mouse 1</t>
  </si>
  <si>
    <t>BL048 aerobic 10^6 mouse 2</t>
  </si>
  <si>
    <t>BL048 aerobic 10^6 mouse 3</t>
  </si>
  <si>
    <t>BL048 anaerobic 10^6 mouse 1</t>
  </si>
  <si>
    <t>BL048 anaerobic 10^6 mouse 2</t>
  </si>
  <si>
    <t>BL048 anaerobic 10^6 mouse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</si>
</sst>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vertAlign val="subscript"/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164" fontId="0" fillId="4" borderId="1" xfId="0" applyNumberFormat="1" applyFill="1" applyBorder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Fill="1"/>
    <xf numFmtId="0" fontId="0" fillId="0" borderId="3" xfId="0" applyBorder="1"/>
    <xf numFmtId="0" fontId="0" fillId="0" borderId="6" xfId="0" applyBorder="1"/>
    <xf numFmtId="0" fontId="0" fillId="0" borderId="0" xfId="0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vertical="center" wrapText="1"/>
    </xf>
    <xf numFmtId="11" fontId="0" fillId="0" borderId="0" xfId="0" applyNumberFormat="1" applyFill="1" applyBorder="1" applyAlignment="1">
      <alignment horizontal="center" vertical="center"/>
    </xf>
    <xf numFmtId="11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2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165" fontId="0" fillId="3" borderId="4" xfId="0" applyNumberFormat="1" applyFill="1" applyBorder="1" applyAlignment="1">
      <alignment horizontal="center" vertical="center"/>
    </xf>
    <xf numFmtId="165" fontId="0" fillId="3" borderId="7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165" fontId="0" fillId="0" borderId="0" xfId="0" applyNumberFormat="1" applyFill="1" applyBorder="1" applyAlignment="1">
      <alignment vertic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ne/Library/Mobile%20Documents/com~apple~CloudDocs/Documents/DGP/Hauser%20lab/Results/2019/8.8.19%20-%20colonization%20assay%20PAS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ces over a week"/>
      <sheetName val="Day 7 - all organs "/>
    </sheetNames>
    <sheetDataSet>
      <sheetData sheetId="0">
        <row r="1">
          <cell r="K1" t="str">
            <v>Detection limit</v>
          </cell>
        </row>
        <row r="2">
          <cell r="K2">
            <v>2.2300321986705574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18"/>
  <sheetViews>
    <sheetView workbookViewId="0">
      <selection activeCell="K3" sqref="K3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4.83203125" customWidth="1"/>
  </cols>
  <sheetData>
    <row r="1" spans="1:16" ht="44" x14ac:dyDescent="0.2">
      <c r="A1" s="4" t="s">
        <v>5</v>
      </c>
      <c r="B1" s="4" t="s">
        <v>6</v>
      </c>
      <c r="C1" s="4" t="s">
        <v>7</v>
      </c>
      <c r="D1" s="4" t="s">
        <v>8</v>
      </c>
      <c r="E1" s="4" t="s">
        <v>9</v>
      </c>
      <c r="I1" s="1"/>
      <c r="J1" s="11" t="s">
        <v>10</v>
      </c>
      <c r="K1" s="11" t="s">
        <v>11</v>
      </c>
      <c r="L1" s="11" t="s">
        <v>15</v>
      </c>
      <c r="M1" s="11" t="s">
        <v>12</v>
      </c>
      <c r="N1" s="11" t="s">
        <v>13</v>
      </c>
      <c r="P1" s="11" t="s">
        <v>20</v>
      </c>
    </row>
    <row r="2" spans="1:16" x14ac:dyDescent="0.2">
      <c r="A2" s="5"/>
      <c r="B2" s="6"/>
      <c r="C2" s="6"/>
      <c r="D2" s="7"/>
      <c r="E2" s="8"/>
      <c r="I2" s="34" t="s">
        <v>21</v>
      </c>
      <c r="J2" s="21">
        <v>23</v>
      </c>
      <c r="K2" s="24">
        <v>10000</v>
      </c>
      <c r="L2" s="24">
        <f t="shared" ref="L2:L9" si="0">J2*5*K2</f>
        <v>1150000</v>
      </c>
      <c r="M2" s="36">
        <f>AVERAGE(L2:L3)</f>
        <v>1100000</v>
      </c>
      <c r="N2" s="38">
        <f>LOG10(M2)</f>
        <v>6.0413926851582254</v>
      </c>
      <c r="P2" s="40"/>
    </row>
    <row r="3" spans="1:16" x14ac:dyDescent="0.2">
      <c r="A3" s="9"/>
      <c r="B3" s="6"/>
      <c r="C3" s="6"/>
      <c r="D3" s="10"/>
      <c r="E3" s="15"/>
      <c r="I3" s="35"/>
      <c r="J3" s="22">
        <v>21</v>
      </c>
      <c r="K3" s="25">
        <v>10000</v>
      </c>
      <c r="L3" s="25">
        <f t="shared" si="0"/>
        <v>1050000</v>
      </c>
      <c r="M3" s="37"/>
      <c r="N3" s="39"/>
      <c r="P3" s="40"/>
    </row>
    <row r="4" spans="1:16" x14ac:dyDescent="0.2">
      <c r="A4" s="5"/>
      <c r="B4" s="6"/>
      <c r="C4" s="6"/>
      <c r="D4" s="7"/>
      <c r="E4" s="8"/>
      <c r="H4" s="26"/>
      <c r="I4" s="27"/>
      <c r="J4" s="26"/>
      <c r="K4" s="28"/>
      <c r="L4" s="28"/>
      <c r="M4" s="29"/>
      <c r="N4" s="42"/>
      <c r="O4" s="26"/>
      <c r="P4" s="30"/>
    </row>
    <row r="5" spans="1:16" x14ac:dyDescent="0.2">
      <c r="A5" s="9"/>
      <c r="B5" s="6"/>
      <c r="C5" s="6"/>
      <c r="D5" s="10"/>
      <c r="E5" s="15"/>
      <c r="H5" s="26"/>
      <c r="I5" s="27"/>
      <c r="J5" s="26"/>
      <c r="K5" s="28"/>
      <c r="L5" s="28"/>
      <c r="M5" s="29"/>
      <c r="N5" s="42"/>
      <c r="O5" s="26"/>
      <c r="P5" s="30"/>
    </row>
    <row r="6" spans="1:16" x14ac:dyDescent="0.2">
      <c r="H6" s="26"/>
      <c r="I6" s="27"/>
      <c r="J6" s="26"/>
      <c r="K6" s="28"/>
      <c r="L6" s="28"/>
      <c r="M6" s="29"/>
      <c r="N6" s="42"/>
      <c r="O6" s="26"/>
      <c r="P6" s="30"/>
    </row>
    <row r="7" spans="1:16" x14ac:dyDescent="0.2">
      <c r="H7" s="26"/>
      <c r="I7" s="27"/>
      <c r="J7" s="26"/>
      <c r="K7" s="28"/>
      <c r="L7" s="28"/>
      <c r="M7" s="29"/>
      <c r="N7" s="42"/>
      <c r="O7" s="26"/>
      <c r="P7" s="30"/>
    </row>
    <row r="8" spans="1:16" x14ac:dyDescent="0.2">
      <c r="H8" s="26"/>
      <c r="I8" s="27"/>
      <c r="J8" s="26"/>
      <c r="K8" s="28"/>
      <c r="L8" s="28"/>
      <c r="M8" s="29"/>
      <c r="N8" s="42"/>
      <c r="O8" s="26"/>
      <c r="P8" s="30"/>
    </row>
    <row r="9" spans="1:16" x14ac:dyDescent="0.2">
      <c r="H9" s="26"/>
      <c r="I9" s="27"/>
      <c r="J9" s="26"/>
      <c r="K9" s="28"/>
      <c r="L9" s="28"/>
      <c r="M9" s="29"/>
      <c r="N9" s="42"/>
      <c r="O9" s="26"/>
      <c r="P9" s="30"/>
    </row>
    <row r="10" spans="1:16" x14ac:dyDescent="0.2">
      <c r="H10" s="26"/>
      <c r="I10" s="31"/>
      <c r="J10" s="26"/>
      <c r="K10" s="28"/>
      <c r="L10" s="28"/>
      <c r="M10" s="28"/>
      <c r="N10" s="32"/>
      <c r="O10" s="26"/>
      <c r="P10" s="33"/>
    </row>
    <row r="11" spans="1:16" x14ac:dyDescent="0.2">
      <c r="H11" s="20"/>
      <c r="I11" s="31"/>
      <c r="J11" s="26"/>
      <c r="K11" s="28"/>
      <c r="L11" s="28"/>
      <c r="M11" s="28"/>
      <c r="N11" s="32"/>
      <c r="O11" s="26"/>
      <c r="P11" s="33"/>
    </row>
    <row r="12" spans="1:16" x14ac:dyDescent="0.2">
      <c r="H12" s="20"/>
      <c r="I12" s="31"/>
      <c r="J12" s="26"/>
      <c r="K12" s="28"/>
      <c r="L12" s="28"/>
      <c r="M12" s="28"/>
      <c r="N12" s="32"/>
      <c r="O12" s="26"/>
      <c r="P12" s="33"/>
    </row>
    <row r="13" spans="1:16" x14ac:dyDescent="0.2">
      <c r="H13" s="20"/>
      <c r="I13" s="31"/>
      <c r="J13" s="26"/>
      <c r="K13" s="28"/>
      <c r="L13" s="28"/>
      <c r="M13" s="28"/>
      <c r="N13" s="32"/>
      <c r="O13" s="26"/>
      <c r="P13" s="33"/>
    </row>
    <row r="14" spans="1:16" x14ac:dyDescent="0.2">
      <c r="H14" s="20"/>
      <c r="I14" s="27"/>
      <c r="J14" s="26"/>
      <c r="K14" s="28"/>
      <c r="L14" s="28"/>
      <c r="M14" s="29"/>
      <c r="N14" s="30"/>
      <c r="O14" s="26"/>
      <c r="P14" s="26"/>
    </row>
    <row r="15" spans="1:16" x14ac:dyDescent="0.2">
      <c r="H15" s="20"/>
      <c r="I15" s="27"/>
      <c r="J15" s="26"/>
      <c r="K15" s="28"/>
      <c r="L15" s="28"/>
      <c r="M15" s="29"/>
      <c r="N15" s="30"/>
      <c r="O15" s="26"/>
      <c r="P15" s="26"/>
    </row>
    <row r="16" spans="1:16" x14ac:dyDescent="0.2">
      <c r="H16" s="20"/>
      <c r="I16" s="20"/>
      <c r="J16" s="20"/>
      <c r="K16" s="20"/>
      <c r="L16" s="20"/>
      <c r="M16" s="20"/>
      <c r="N16" s="20"/>
      <c r="O16" s="20"/>
      <c r="P16" s="20"/>
    </row>
    <row r="17" spans="8:16" x14ac:dyDescent="0.2">
      <c r="H17" s="20"/>
      <c r="I17" s="20"/>
      <c r="J17" s="20"/>
      <c r="K17" s="20"/>
      <c r="L17" s="20"/>
      <c r="M17" s="20"/>
      <c r="N17" s="20"/>
      <c r="O17" s="20"/>
      <c r="P17" s="20"/>
    </row>
    <row r="18" spans="8:16" x14ac:dyDescent="0.2">
      <c r="H18" s="20"/>
      <c r="I18" s="20"/>
      <c r="J18" s="20"/>
      <c r="K18" s="20"/>
      <c r="L18" s="20"/>
      <c r="M18" s="20"/>
      <c r="N18" s="20"/>
      <c r="O18" s="20"/>
      <c r="P18" s="20"/>
    </row>
  </sheetData>
  <mergeCells count="4">
    <mergeCell ref="P2:P3"/>
    <mergeCell ref="I2:I3"/>
    <mergeCell ref="M2:M3"/>
    <mergeCell ref="N2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4AEC5-DE4D-0246-9F28-EB7B7D072F9D}">
  <dimension ref="A1:V55"/>
  <sheetViews>
    <sheetView tabSelected="1" topLeftCell="A26" workbookViewId="0">
      <selection activeCell="G44" sqref="G44:G48"/>
    </sheetView>
  </sheetViews>
  <sheetFormatPr baseColWidth="10" defaultRowHeight="16" x14ac:dyDescent="0.2"/>
  <cols>
    <col min="1" max="1" width="17.5" customWidth="1"/>
  </cols>
  <sheetData>
    <row r="1" spans="1:22" ht="51" x14ac:dyDescent="0.2">
      <c r="A1" s="2" t="s">
        <v>22</v>
      </c>
      <c r="B1" s="41" t="s">
        <v>0</v>
      </c>
      <c r="C1" s="41"/>
      <c r="D1" s="23" t="s">
        <v>1</v>
      </c>
      <c r="E1" s="23" t="s">
        <v>4</v>
      </c>
      <c r="F1" s="23" t="s">
        <v>2</v>
      </c>
      <c r="G1" s="16" t="s">
        <v>3</v>
      </c>
    </row>
    <row r="2" spans="1:22" x14ac:dyDescent="0.2">
      <c r="A2" s="12" t="s">
        <v>16</v>
      </c>
      <c r="B2">
        <v>57</v>
      </c>
      <c r="C2">
        <v>66</v>
      </c>
      <c r="D2">
        <f>AVERAGE(B2:C2)</f>
        <v>61.5</v>
      </c>
      <c r="E2" s="3">
        <v>100</v>
      </c>
      <c r="F2" s="3">
        <f>1755.2-1748.7</f>
        <v>6.5</v>
      </c>
      <c r="G2" s="17">
        <f>LOG10(D2*100*E2/F2*1000)</f>
        <v>7.9759617591325611</v>
      </c>
      <c r="R2">
        <v>3.3</v>
      </c>
      <c r="S2">
        <f>R2+0.1</f>
        <v>3.4</v>
      </c>
      <c r="T2">
        <f t="shared" ref="T2:V2" si="0">S2+0.1</f>
        <v>3.5</v>
      </c>
      <c r="U2">
        <f t="shared" si="0"/>
        <v>3.6</v>
      </c>
      <c r="V2">
        <f t="shared" si="0"/>
        <v>3.7</v>
      </c>
    </row>
    <row r="3" spans="1:22" x14ac:dyDescent="0.2">
      <c r="A3" s="12" t="s">
        <v>17</v>
      </c>
      <c r="B3" s="13">
        <v>9</v>
      </c>
      <c r="C3" s="13">
        <v>3</v>
      </c>
      <c r="D3" s="13">
        <f t="shared" ref="D3:D6" si="1">AVERAGE(B3:C3)</f>
        <v>6</v>
      </c>
      <c r="E3" s="12">
        <v>10000</v>
      </c>
      <c r="F3" s="12">
        <f>1784.1-1766.9</f>
        <v>17.199999999999818</v>
      </c>
      <c r="G3" s="17">
        <f>LOG10(D3*100*E3/F3*1000)</f>
        <v>8.5426228034760996</v>
      </c>
      <c r="R3">
        <v>5.3</v>
      </c>
      <c r="S3">
        <f t="shared" ref="S3:V6" si="2">R3+0.1</f>
        <v>5.3999999999999995</v>
      </c>
      <c r="T3">
        <f t="shared" si="2"/>
        <v>5.4999999999999991</v>
      </c>
      <c r="U3">
        <f t="shared" si="2"/>
        <v>5.5999999999999988</v>
      </c>
      <c r="V3">
        <f t="shared" si="2"/>
        <v>5.6999999999999984</v>
      </c>
    </row>
    <row r="4" spans="1:22" x14ac:dyDescent="0.2">
      <c r="A4" s="12" t="s">
        <v>14</v>
      </c>
      <c r="B4" s="13">
        <v>40</v>
      </c>
      <c r="C4" s="13">
        <v>45</v>
      </c>
      <c r="D4" s="13">
        <f t="shared" si="1"/>
        <v>42.5</v>
      </c>
      <c r="E4" s="12">
        <v>1000</v>
      </c>
      <c r="F4" s="12">
        <f>1720.3-1704.1</f>
        <v>16.200000000000045</v>
      </c>
      <c r="G4" s="17">
        <f t="shared" ref="G4:G6" si="3">LOG10(D4*100*E4/F4*1000)</f>
        <v>8.4188739155076799</v>
      </c>
      <c r="R4">
        <v>7.3</v>
      </c>
      <c r="S4">
        <f t="shared" si="2"/>
        <v>7.3999999999999995</v>
      </c>
      <c r="T4">
        <f t="shared" si="2"/>
        <v>7.4999999999999991</v>
      </c>
      <c r="U4">
        <f t="shared" si="2"/>
        <v>7.5999999999999988</v>
      </c>
      <c r="V4">
        <f t="shared" si="2"/>
        <v>7.6999999999999984</v>
      </c>
    </row>
    <row r="5" spans="1:22" x14ac:dyDescent="0.2">
      <c r="A5" s="12" t="s">
        <v>19</v>
      </c>
      <c r="B5" s="13">
        <v>53</v>
      </c>
      <c r="C5" s="13">
        <v>48</v>
      </c>
      <c r="D5" s="13">
        <f t="shared" si="1"/>
        <v>50.5</v>
      </c>
      <c r="E5" s="12">
        <v>1000</v>
      </c>
      <c r="F5" s="12">
        <f>1899.1-1816.6</f>
        <v>82.5</v>
      </c>
      <c r="G5" s="17">
        <f t="shared" si="3"/>
        <v>7.7868374295687364</v>
      </c>
      <c r="R5">
        <v>10.3</v>
      </c>
      <c r="S5">
        <f t="shared" si="2"/>
        <v>10.4</v>
      </c>
      <c r="T5">
        <f t="shared" si="2"/>
        <v>10.5</v>
      </c>
      <c r="U5">
        <f t="shared" si="2"/>
        <v>10.6</v>
      </c>
      <c r="V5">
        <f t="shared" si="2"/>
        <v>10.7</v>
      </c>
    </row>
    <row r="6" spans="1:22" ht="17" x14ac:dyDescent="0.2">
      <c r="A6" s="18" t="s">
        <v>18</v>
      </c>
      <c r="B6" s="14">
        <v>43</v>
      </c>
      <c r="C6" s="14">
        <v>60</v>
      </c>
      <c r="D6" s="13">
        <f t="shared" si="1"/>
        <v>51.5</v>
      </c>
      <c r="E6" s="18">
        <v>10</v>
      </c>
      <c r="F6" s="18">
        <f>1841-1813.7</f>
        <v>27.299999999999955</v>
      </c>
      <c r="G6" s="17">
        <f t="shared" si="3"/>
        <v>6.2756445820004361</v>
      </c>
      <c r="R6">
        <v>14.3</v>
      </c>
      <c r="S6">
        <f t="shared" si="2"/>
        <v>14.4</v>
      </c>
      <c r="T6">
        <f t="shared" si="2"/>
        <v>14.5</v>
      </c>
      <c r="U6">
        <f t="shared" si="2"/>
        <v>14.6</v>
      </c>
      <c r="V6">
        <f t="shared" si="2"/>
        <v>14.7</v>
      </c>
    </row>
    <row r="7" spans="1:22" x14ac:dyDescent="0.2">
      <c r="A7" s="12"/>
      <c r="B7" s="13"/>
      <c r="C7" s="13"/>
      <c r="D7" s="13"/>
      <c r="E7" s="12"/>
      <c r="F7" s="12"/>
      <c r="G7" s="17"/>
    </row>
    <row r="8" spans="1:22" ht="51" x14ac:dyDescent="0.2">
      <c r="A8" s="2" t="s">
        <v>23</v>
      </c>
      <c r="B8" s="41" t="s">
        <v>0</v>
      </c>
      <c r="C8" s="41"/>
      <c r="D8" s="23" t="s">
        <v>1</v>
      </c>
      <c r="E8" s="23" t="s">
        <v>4</v>
      </c>
      <c r="F8" s="23" t="s">
        <v>2</v>
      </c>
      <c r="G8" s="16" t="s">
        <v>3</v>
      </c>
    </row>
    <row r="9" spans="1:22" x14ac:dyDescent="0.2">
      <c r="A9" s="12" t="s">
        <v>16</v>
      </c>
      <c r="B9" s="43">
        <v>0</v>
      </c>
      <c r="C9" s="43">
        <v>0</v>
      </c>
      <c r="D9">
        <f>AVERAGE(B9:C9)</f>
        <v>0</v>
      </c>
      <c r="E9" s="3">
        <v>1</v>
      </c>
      <c r="F9" s="3">
        <f>1899.2-1868.6</f>
        <v>30.600000000000136</v>
      </c>
      <c r="G9" s="17" t="e">
        <f>LOG10(D9*100*E9/F9*1000)</f>
        <v>#NUM!</v>
      </c>
    </row>
    <row r="10" spans="1:22" x14ac:dyDescent="0.2">
      <c r="A10" s="12" t="s">
        <v>17</v>
      </c>
      <c r="B10" s="43">
        <v>6</v>
      </c>
      <c r="C10" s="43">
        <v>9</v>
      </c>
      <c r="D10" s="13">
        <f t="shared" ref="D10:D13" si="4">AVERAGE(B10:C10)</f>
        <v>7.5</v>
      </c>
      <c r="E10" s="12">
        <v>1000</v>
      </c>
      <c r="F10" s="12">
        <f>1863.9-1821</f>
        <v>42.900000000000091</v>
      </c>
      <c r="G10" s="17">
        <f>LOG10(D10*100*E10/F10*1000)</f>
        <v>7.2426039712069752</v>
      </c>
    </row>
    <row r="11" spans="1:22" x14ac:dyDescent="0.2">
      <c r="A11" s="12" t="s">
        <v>14</v>
      </c>
      <c r="B11" s="43">
        <v>8</v>
      </c>
      <c r="C11" s="43">
        <v>13</v>
      </c>
      <c r="D11" s="13">
        <f t="shared" si="4"/>
        <v>10.5</v>
      </c>
      <c r="E11" s="12">
        <v>1000</v>
      </c>
      <c r="F11" s="12">
        <f>1872.3-1842.5</f>
        <v>29.799999999999955</v>
      </c>
      <c r="G11" s="17">
        <f t="shared" ref="G11:G13" si="5">LOG10(D11*100*E11/F11*1000)</f>
        <v>7.5469730349936839</v>
      </c>
    </row>
    <row r="12" spans="1:22" x14ac:dyDescent="0.2">
      <c r="A12" s="12" t="s">
        <v>19</v>
      </c>
      <c r="B12" s="43">
        <v>23</v>
      </c>
      <c r="C12" s="43">
        <v>13</v>
      </c>
      <c r="D12" s="13">
        <f>AVERAGE(B12:C12)</f>
        <v>18</v>
      </c>
      <c r="E12" s="12">
        <v>100</v>
      </c>
      <c r="F12" s="12">
        <f>1892.9-1832.3</f>
        <v>60.600000000000136</v>
      </c>
      <c r="G12" s="17">
        <f t="shared" si="5"/>
        <v>6.4727998809370186</v>
      </c>
    </row>
    <row r="13" spans="1:22" ht="17" x14ac:dyDescent="0.2">
      <c r="A13" s="18" t="s">
        <v>18</v>
      </c>
      <c r="B13" s="14">
        <v>22</v>
      </c>
      <c r="C13" s="14">
        <v>12</v>
      </c>
      <c r="D13" s="13">
        <f t="shared" si="4"/>
        <v>17</v>
      </c>
      <c r="E13" s="18">
        <v>100</v>
      </c>
      <c r="F13" s="18">
        <f>2037.9-1965</f>
        <v>72.900000000000091</v>
      </c>
      <c r="G13" s="17">
        <f t="shared" si="5"/>
        <v>6.3677213930602985</v>
      </c>
    </row>
    <row r="14" spans="1:22" x14ac:dyDescent="0.2">
      <c r="A14" s="12"/>
      <c r="B14" s="13"/>
      <c r="C14" s="13"/>
      <c r="D14" s="13"/>
      <c r="E14" s="12"/>
      <c r="F14" s="3"/>
      <c r="G14" s="17"/>
    </row>
    <row r="15" spans="1:22" ht="51" x14ac:dyDescent="0.2">
      <c r="A15" s="2" t="s">
        <v>24</v>
      </c>
      <c r="B15" s="41" t="s">
        <v>0</v>
      </c>
      <c r="C15" s="41"/>
      <c r="D15" s="23" t="s">
        <v>1</v>
      </c>
      <c r="E15" s="23" t="s">
        <v>4</v>
      </c>
      <c r="F15" s="23" t="s">
        <v>2</v>
      </c>
      <c r="G15" s="16" t="s">
        <v>3</v>
      </c>
    </row>
    <row r="16" spans="1:22" x14ac:dyDescent="0.2">
      <c r="A16" s="12" t="s">
        <v>16</v>
      </c>
      <c r="B16" s="43">
        <v>0</v>
      </c>
      <c r="C16" s="43">
        <v>0</v>
      </c>
      <c r="D16">
        <f>AVERAGE(B16:C16)</f>
        <v>0</v>
      </c>
      <c r="E16" s="3">
        <v>1</v>
      </c>
      <c r="F16" s="3">
        <f>1789.4-1767.8</f>
        <v>21.600000000000136</v>
      </c>
      <c r="G16" s="17" t="e">
        <f>LOG10(D16*100*E16/F16*1000)</f>
        <v>#NUM!</v>
      </c>
    </row>
    <row r="17" spans="1:7" x14ac:dyDescent="0.2">
      <c r="A17" s="12" t="s">
        <v>17</v>
      </c>
      <c r="B17" s="43">
        <v>12</v>
      </c>
      <c r="C17" s="43">
        <v>8</v>
      </c>
      <c r="D17" s="13">
        <f t="shared" ref="D17:D20" si="6">AVERAGE(B17:C17)</f>
        <v>10</v>
      </c>
      <c r="E17" s="12">
        <v>100</v>
      </c>
      <c r="F17" s="12">
        <f>1852.3-1814.4</f>
        <v>37.899999999999864</v>
      </c>
      <c r="G17" s="17">
        <f>LOG10(D17*100*E17/F17*1000)</f>
        <v>6.4213607900319296</v>
      </c>
    </row>
    <row r="18" spans="1:7" x14ac:dyDescent="0.2">
      <c r="A18" s="12" t="s">
        <v>14</v>
      </c>
      <c r="B18" s="43">
        <v>17</v>
      </c>
      <c r="C18" s="43">
        <v>39</v>
      </c>
      <c r="D18" s="13">
        <f t="shared" si="6"/>
        <v>28</v>
      </c>
      <c r="E18" s="12">
        <v>1000</v>
      </c>
      <c r="F18" s="12">
        <f>1915.4-1874.2</f>
        <v>41.200000000000045</v>
      </c>
      <c r="G18" s="17">
        <f t="shared" ref="G18:G20" si="7">LOG10(D18*100*E18/F18*1000)</f>
        <v>7.832260815309084</v>
      </c>
    </row>
    <row r="19" spans="1:7" x14ac:dyDescent="0.2">
      <c r="A19" s="12" t="s">
        <v>19</v>
      </c>
      <c r="B19" s="43">
        <v>35</v>
      </c>
      <c r="C19" s="43">
        <v>36</v>
      </c>
      <c r="D19" s="13">
        <f t="shared" si="6"/>
        <v>35.5</v>
      </c>
      <c r="E19" s="12">
        <v>10</v>
      </c>
      <c r="F19" s="12">
        <f>1895.3-1779.3</f>
        <v>116</v>
      </c>
      <c r="G19" s="17">
        <f t="shared" si="7"/>
        <v>5.4857703638281752</v>
      </c>
    </row>
    <row r="20" spans="1:7" ht="17" x14ac:dyDescent="0.2">
      <c r="A20" s="18" t="s">
        <v>18</v>
      </c>
      <c r="B20" s="14">
        <v>21</v>
      </c>
      <c r="C20" s="14">
        <v>21</v>
      </c>
      <c r="D20" s="13">
        <f t="shared" si="6"/>
        <v>21</v>
      </c>
      <c r="E20" s="18">
        <v>10</v>
      </c>
      <c r="F20" s="18">
        <f>1878.4-1828.6</f>
        <v>49.800000000000182</v>
      </c>
      <c r="G20" s="17">
        <f t="shared" si="7"/>
        <v>5.6249899519742002</v>
      </c>
    </row>
    <row r="21" spans="1:7" x14ac:dyDescent="0.2">
      <c r="A21" s="19"/>
      <c r="B21" s="41"/>
      <c r="C21" s="41"/>
      <c r="D21" s="23"/>
      <c r="E21" s="23"/>
      <c r="F21" s="23"/>
      <c r="G21" s="16"/>
    </row>
    <row r="22" spans="1:7" x14ac:dyDescent="0.2">
      <c r="A22" s="2"/>
      <c r="B22" s="41"/>
      <c r="C22" s="41"/>
      <c r="D22" s="23"/>
      <c r="E22" s="23"/>
      <c r="F22" s="23"/>
      <c r="G22" s="16"/>
    </row>
    <row r="23" spans="1:7" x14ac:dyDescent="0.2">
      <c r="A23" s="12"/>
      <c r="E23" s="3"/>
      <c r="F23" s="3"/>
      <c r="G23" s="17"/>
    </row>
    <row r="24" spans="1:7" x14ac:dyDescent="0.2">
      <c r="A24" s="12"/>
      <c r="B24" s="13"/>
      <c r="C24" s="13"/>
      <c r="D24" s="13"/>
      <c r="E24" s="12"/>
      <c r="F24" s="12"/>
      <c r="G24" s="17"/>
    </row>
    <row r="25" spans="1:7" x14ac:dyDescent="0.2">
      <c r="A25" s="12"/>
      <c r="B25" s="13"/>
      <c r="C25" s="13"/>
      <c r="D25" s="13"/>
      <c r="E25" s="12"/>
      <c r="F25" s="12"/>
      <c r="G25" s="17"/>
    </row>
    <row r="26" spans="1:7" x14ac:dyDescent="0.2">
      <c r="A26" s="12"/>
      <c r="B26" s="13"/>
      <c r="C26" s="13"/>
      <c r="D26" s="13"/>
      <c r="E26" s="12"/>
      <c r="F26" s="12"/>
      <c r="G26" s="17"/>
    </row>
    <row r="27" spans="1:7" x14ac:dyDescent="0.2">
      <c r="A27" s="18"/>
      <c r="B27" s="14"/>
      <c r="C27" s="14"/>
      <c r="D27" s="13"/>
      <c r="E27" s="18"/>
      <c r="F27" s="18"/>
      <c r="G27" s="17"/>
    </row>
    <row r="29" spans="1:7" ht="51" x14ac:dyDescent="0.2">
      <c r="A29" s="2" t="s">
        <v>25</v>
      </c>
      <c r="B29" s="41" t="s">
        <v>0</v>
      </c>
      <c r="C29" s="41"/>
      <c r="D29" s="23" t="s">
        <v>1</v>
      </c>
      <c r="E29" s="23" t="s">
        <v>4</v>
      </c>
      <c r="F29" s="23" t="s">
        <v>2</v>
      </c>
      <c r="G29" s="16" t="s">
        <v>3</v>
      </c>
    </row>
    <row r="30" spans="1:7" x14ac:dyDescent="0.2">
      <c r="A30" s="12" t="s">
        <v>16</v>
      </c>
      <c r="B30">
        <v>64</v>
      </c>
      <c r="C30">
        <v>59</v>
      </c>
      <c r="D30">
        <f>AVERAGE(B30:C30)</f>
        <v>61.5</v>
      </c>
      <c r="E30" s="3">
        <v>100</v>
      </c>
      <c r="F30" s="3">
        <f>F2</f>
        <v>6.5</v>
      </c>
      <c r="G30" s="17">
        <f>LOG10(D30*100*E30/F30*1000)</f>
        <v>7.9759617591325611</v>
      </c>
    </row>
    <row r="31" spans="1:7" x14ac:dyDescent="0.2">
      <c r="A31" s="12" t="s">
        <v>17</v>
      </c>
      <c r="B31" s="13">
        <v>4</v>
      </c>
      <c r="C31" s="13">
        <v>4</v>
      </c>
      <c r="D31" s="13">
        <f t="shared" ref="D31:D34" si="8">AVERAGE(B31:C31)</f>
        <v>4</v>
      </c>
      <c r="E31" s="12">
        <v>10000</v>
      </c>
      <c r="F31" s="3">
        <f t="shared" ref="F31:F34" si="9">F3</f>
        <v>17.199999999999818</v>
      </c>
      <c r="G31" s="17">
        <f>LOG10(D31*100*E31/F31*1000)</f>
        <v>8.3665315444204182</v>
      </c>
    </row>
    <row r="32" spans="1:7" x14ac:dyDescent="0.2">
      <c r="A32" s="12" t="s">
        <v>14</v>
      </c>
      <c r="B32" s="13">
        <v>34</v>
      </c>
      <c r="C32" s="13">
        <v>37</v>
      </c>
      <c r="D32" s="13">
        <f t="shared" si="8"/>
        <v>35.5</v>
      </c>
      <c r="E32" s="12">
        <v>1000</v>
      </c>
      <c r="F32" s="3">
        <f t="shared" si="9"/>
        <v>16.200000000000045</v>
      </c>
      <c r="G32" s="17">
        <f t="shared" ref="G32:G34" si="10">LOG10(D32*100*E32/F32*1000)</f>
        <v>8.3407133385124617</v>
      </c>
    </row>
    <row r="33" spans="1:7" x14ac:dyDescent="0.2">
      <c r="A33" s="12" t="s">
        <v>19</v>
      </c>
      <c r="B33" s="13">
        <v>46</v>
      </c>
      <c r="C33" s="13">
        <v>54</v>
      </c>
      <c r="D33" s="13">
        <f t="shared" si="8"/>
        <v>50</v>
      </c>
      <c r="E33" s="12">
        <v>1000</v>
      </c>
      <c r="F33" s="3">
        <f t="shared" si="9"/>
        <v>82.5</v>
      </c>
      <c r="G33" s="17">
        <f t="shared" si="10"/>
        <v>7.7825160557860942</v>
      </c>
    </row>
    <row r="34" spans="1:7" ht="17" x14ac:dyDescent="0.2">
      <c r="A34" s="18" t="s">
        <v>18</v>
      </c>
      <c r="B34" s="14">
        <v>29</v>
      </c>
      <c r="C34" s="14">
        <v>22</v>
      </c>
      <c r="D34" s="13">
        <f t="shared" si="8"/>
        <v>25.5</v>
      </c>
      <c r="E34" s="18">
        <v>10</v>
      </c>
      <c r="F34" s="3">
        <f t="shared" si="9"/>
        <v>27.299999999999955</v>
      </c>
      <c r="G34" s="17">
        <f t="shared" si="10"/>
        <v>5.9703775333931999</v>
      </c>
    </row>
    <row r="35" spans="1:7" x14ac:dyDescent="0.2">
      <c r="A35" s="12"/>
      <c r="B35" s="13"/>
      <c r="C35" s="13"/>
      <c r="D35" s="13"/>
      <c r="E35" s="12"/>
      <c r="F35" s="12"/>
      <c r="G35" s="17"/>
    </row>
    <row r="36" spans="1:7" ht="51" x14ac:dyDescent="0.2">
      <c r="A36" s="2" t="s">
        <v>26</v>
      </c>
      <c r="B36" s="41" t="s">
        <v>0</v>
      </c>
      <c r="C36" s="41"/>
      <c r="D36" s="23" t="s">
        <v>1</v>
      </c>
      <c r="E36" s="23" t="s">
        <v>4</v>
      </c>
      <c r="F36" s="23" t="s">
        <v>2</v>
      </c>
      <c r="G36" s="16" t="s">
        <v>3</v>
      </c>
    </row>
    <row r="37" spans="1:7" x14ac:dyDescent="0.2">
      <c r="A37" s="12" t="s">
        <v>16</v>
      </c>
      <c r="B37" s="43">
        <v>0</v>
      </c>
      <c r="C37" s="43">
        <v>0</v>
      </c>
      <c r="D37">
        <f>AVERAGE(B37:C37)</f>
        <v>0</v>
      </c>
      <c r="E37" s="3">
        <v>1</v>
      </c>
      <c r="F37" s="3">
        <f>F9</f>
        <v>30.600000000000136</v>
      </c>
      <c r="G37" s="17" t="e">
        <f>LOG10(D37*100*E37/F37*1000)</f>
        <v>#NUM!</v>
      </c>
    </row>
    <row r="38" spans="1:7" x14ac:dyDescent="0.2">
      <c r="A38" s="12" t="s">
        <v>17</v>
      </c>
      <c r="B38" s="43">
        <v>7</v>
      </c>
      <c r="C38" s="43">
        <v>3</v>
      </c>
      <c r="D38" s="13">
        <f t="shared" ref="D38:D41" si="11">AVERAGE(B38:C38)</f>
        <v>5</v>
      </c>
      <c r="E38" s="12">
        <v>1000</v>
      </c>
      <c r="F38" s="3">
        <f t="shared" ref="F38:F41" si="12">F10</f>
        <v>42.900000000000091</v>
      </c>
      <c r="G38" s="17">
        <f>LOG10(D38*100*E38/F38*1000)</f>
        <v>7.0665127121512938</v>
      </c>
    </row>
    <row r="39" spans="1:7" x14ac:dyDescent="0.2">
      <c r="A39" s="12" t="s">
        <v>14</v>
      </c>
      <c r="B39" s="43">
        <v>21</v>
      </c>
      <c r="C39" s="43">
        <v>9</v>
      </c>
      <c r="D39" s="13">
        <f t="shared" si="11"/>
        <v>15</v>
      </c>
      <c r="E39" s="12">
        <v>1000</v>
      </c>
      <c r="F39" s="3">
        <f t="shared" si="12"/>
        <v>29.799999999999955</v>
      </c>
      <c r="G39" s="17">
        <f t="shared" ref="G39:G41" si="13">LOG10(D39*100*E39/F39*1000)</f>
        <v>7.701874994979427</v>
      </c>
    </row>
    <row r="40" spans="1:7" x14ac:dyDescent="0.2">
      <c r="A40" s="12" t="s">
        <v>19</v>
      </c>
      <c r="B40" s="43">
        <v>11</v>
      </c>
      <c r="C40" s="43">
        <v>16</v>
      </c>
      <c r="D40" s="13">
        <f t="shared" si="11"/>
        <v>13.5</v>
      </c>
      <c r="E40" s="12">
        <v>100</v>
      </c>
      <c r="F40" s="3">
        <f t="shared" si="12"/>
        <v>60.600000000000136</v>
      </c>
      <c r="G40" s="17">
        <f t="shared" si="13"/>
        <v>6.3478611443287187</v>
      </c>
    </row>
    <row r="41" spans="1:7" ht="17" x14ac:dyDescent="0.2">
      <c r="A41" s="18" t="s">
        <v>18</v>
      </c>
      <c r="B41" s="14">
        <v>11</v>
      </c>
      <c r="C41" s="14">
        <v>14</v>
      </c>
      <c r="D41" s="13">
        <f t="shared" si="11"/>
        <v>12.5</v>
      </c>
      <c r="E41" s="18">
        <v>100</v>
      </c>
      <c r="F41" s="3">
        <f t="shared" si="12"/>
        <v>72.900000000000091</v>
      </c>
      <c r="G41" s="17">
        <f t="shared" si="13"/>
        <v>6.2341824846900815</v>
      </c>
    </row>
    <row r="42" spans="1:7" x14ac:dyDescent="0.2">
      <c r="A42" s="12"/>
      <c r="B42" s="13"/>
      <c r="C42" s="13"/>
      <c r="D42" s="13"/>
      <c r="E42" s="12"/>
      <c r="F42" s="3"/>
      <c r="G42" s="17"/>
    </row>
    <row r="43" spans="1:7" ht="51" x14ac:dyDescent="0.2">
      <c r="A43" s="2" t="s">
        <v>27</v>
      </c>
      <c r="B43" s="41" t="s">
        <v>0</v>
      </c>
      <c r="C43" s="41"/>
      <c r="D43" s="23" t="s">
        <v>1</v>
      </c>
      <c r="E43" s="23" t="s">
        <v>4</v>
      </c>
      <c r="F43" s="23" t="s">
        <v>2</v>
      </c>
      <c r="G43" s="16" t="s">
        <v>3</v>
      </c>
    </row>
    <row r="44" spans="1:7" x14ac:dyDescent="0.2">
      <c r="A44" s="12" t="s">
        <v>16</v>
      </c>
      <c r="B44" s="43">
        <v>0</v>
      </c>
      <c r="C44" s="43">
        <v>0</v>
      </c>
      <c r="D44">
        <f>AVERAGE(B44:C44)</f>
        <v>0</v>
      </c>
      <c r="E44" s="3">
        <v>1</v>
      </c>
      <c r="F44" s="3">
        <f>F16</f>
        <v>21.600000000000136</v>
      </c>
      <c r="G44" s="17" t="e">
        <f>LOG10(D44*100*E44/F44*1000)</f>
        <v>#NUM!</v>
      </c>
    </row>
    <row r="45" spans="1:7" x14ac:dyDescent="0.2">
      <c r="A45" s="12" t="s">
        <v>17</v>
      </c>
      <c r="B45" s="43">
        <v>5</v>
      </c>
      <c r="C45" s="43">
        <v>4</v>
      </c>
      <c r="D45" s="13">
        <f t="shared" ref="D45:D48" si="14">AVERAGE(B45:C45)</f>
        <v>4.5</v>
      </c>
      <c r="E45" s="12">
        <v>100</v>
      </c>
      <c r="F45" s="3">
        <f t="shared" ref="F45:F48" si="15">F17</f>
        <v>37.899999999999864</v>
      </c>
      <c r="G45" s="17">
        <f>LOG10(D45*100*E45/F45*1000)</f>
        <v>6.0745733038072727</v>
      </c>
    </row>
    <row r="46" spans="1:7" x14ac:dyDescent="0.2">
      <c r="A46" s="12" t="s">
        <v>14</v>
      </c>
      <c r="B46" s="43">
        <v>15</v>
      </c>
      <c r="C46" s="43">
        <v>19</v>
      </c>
      <c r="D46" s="13">
        <f t="shared" si="14"/>
        <v>17</v>
      </c>
      <c r="E46" s="12">
        <v>1000</v>
      </c>
      <c r="F46" s="3">
        <f t="shared" si="15"/>
        <v>41.200000000000045</v>
      </c>
      <c r="G46" s="17">
        <f t="shared" ref="G46:G48" si="16">LOG10(D46*100*E46/F46*1000)</f>
        <v>7.6155517053451387</v>
      </c>
    </row>
    <row r="47" spans="1:7" x14ac:dyDescent="0.2">
      <c r="A47" s="12" t="s">
        <v>19</v>
      </c>
      <c r="B47" s="43">
        <v>35</v>
      </c>
      <c r="C47" s="43">
        <v>34</v>
      </c>
      <c r="D47" s="13">
        <f t="shared" si="14"/>
        <v>34.5</v>
      </c>
      <c r="E47" s="12">
        <v>10</v>
      </c>
      <c r="F47" s="3">
        <f t="shared" si="15"/>
        <v>116</v>
      </c>
      <c r="G47" s="17">
        <f t="shared" si="16"/>
        <v>5.4733611058463554</v>
      </c>
    </row>
    <row r="48" spans="1:7" ht="17" x14ac:dyDescent="0.2">
      <c r="A48" s="18" t="s">
        <v>18</v>
      </c>
      <c r="B48" s="14">
        <v>22</v>
      </c>
      <c r="C48" s="14">
        <v>16</v>
      </c>
      <c r="D48" s="13">
        <f t="shared" si="14"/>
        <v>19</v>
      </c>
      <c r="E48" s="18">
        <v>10</v>
      </c>
      <c r="F48" s="3">
        <f t="shared" si="15"/>
        <v>49.800000000000182</v>
      </c>
      <c r="G48" s="17">
        <f t="shared" si="16"/>
        <v>5.5815242581931095</v>
      </c>
    </row>
    <row r="49" spans="1:7" x14ac:dyDescent="0.2">
      <c r="A49" s="19"/>
      <c r="B49" s="41"/>
      <c r="C49" s="41"/>
      <c r="D49" s="23"/>
      <c r="E49" s="23"/>
      <c r="F49" s="23"/>
      <c r="G49" s="16"/>
    </row>
    <row r="50" spans="1:7" x14ac:dyDescent="0.2">
      <c r="A50" s="2"/>
      <c r="B50" s="41"/>
      <c r="C50" s="41"/>
      <c r="D50" s="23"/>
      <c r="E50" s="23"/>
      <c r="F50" s="23"/>
      <c r="G50" s="16"/>
    </row>
    <row r="51" spans="1:7" x14ac:dyDescent="0.2">
      <c r="A51" s="12"/>
      <c r="E51" s="3"/>
      <c r="F51" s="3"/>
      <c r="G51" s="17"/>
    </row>
    <row r="52" spans="1:7" x14ac:dyDescent="0.2">
      <c r="A52" s="12"/>
      <c r="B52" s="13"/>
      <c r="C52" s="13"/>
      <c r="D52" s="13"/>
      <c r="E52" s="12"/>
      <c r="F52" s="3"/>
      <c r="G52" s="17"/>
    </row>
    <row r="53" spans="1:7" x14ac:dyDescent="0.2">
      <c r="A53" s="12"/>
      <c r="B53" s="13"/>
      <c r="C53" s="13"/>
      <c r="D53" s="13"/>
      <c r="E53" s="12"/>
      <c r="F53" s="3"/>
      <c r="G53" s="17"/>
    </row>
    <row r="54" spans="1:7" x14ac:dyDescent="0.2">
      <c r="A54" s="12"/>
      <c r="B54" s="13"/>
      <c r="C54" s="13"/>
      <c r="D54" s="13"/>
      <c r="E54" s="12"/>
      <c r="F54" s="3"/>
      <c r="G54" s="17"/>
    </row>
    <row r="55" spans="1:7" x14ac:dyDescent="0.2">
      <c r="A55" s="18"/>
      <c r="B55" s="14"/>
      <c r="C55" s="14"/>
      <c r="D55" s="13"/>
      <c r="E55" s="18"/>
      <c r="F55" s="3"/>
      <c r="G55" s="17"/>
    </row>
  </sheetData>
  <mergeCells count="10">
    <mergeCell ref="B36:C36"/>
    <mergeCell ref="B43:C43"/>
    <mergeCell ref="B49:C49"/>
    <mergeCell ref="B50:C50"/>
    <mergeCell ref="B1:C1"/>
    <mergeCell ref="B8:C8"/>
    <mergeCell ref="B15:C15"/>
    <mergeCell ref="B21:C21"/>
    <mergeCell ref="B22:C22"/>
    <mergeCell ref="B29:C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aerobic vs anaerobic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2021-10-29T19:07:59Z</dcterms:modified>
</cp:coreProperties>
</file>