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2/Mouse experiments/"/>
    </mc:Choice>
  </mc:AlternateContent>
  <xr:revisionPtr revIDLastSave="0" documentId="13_ncr:1_{85DEE073-DC51-3744-900B-DB9FAC4DB6E9}" xr6:coauthVersionLast="47" xr6:coauthVersionMax="47" xr10:uidLastSave="{00000000-0000-0000-0000-000000000000}"/>
  <bookViews>
    <workbookView xWindow="-20" yWindow="500" windowWidth="28800" windowHeight="17500" activeTab="1" xr2:uid="{15BD5B81-8563-A743-BCFC-0AD5C29494FE}"/>
  </bookViews>
  <sheets>
    <sheet name="dose" sheetId="1" r:id="rId1"/>
    <sheet name="fec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0" i="2" l="1"/>
  <c r="Q81" i="2"/>
  <c r="Q82" i="2"/>
  <c r="Q83" i="2"/>
  <c r="Q84" i="2"/>
  <c r="Q87" i="2"/>
  <c r="Q88" i="2"/>
  <c r="Q89" i="2"/>
  <c r="Q90" i="2"/>
  <c r="Q91" i="2"/>
  <c r="Q95" i="2"/>
  <c r="Q96" i="2"/>
  <c r="Q97" i="2"/>
  <c r="Q98" i="2"/>
  <c r="Q101" i="2"/>
  <c r="Q102" i="2"/>
  <c r="Q103" i="2"/>
  <c r="Q104" i="2"/>
  <c r="Q105" i="2"/>
  <c r="Q74" i="2"/>
  <c r="Q75" i="2"/>
  <c r="Q76" i="2"/>
  <c r="Q77" i="2"/>
  <c r="Q73" i="2"/>
  <c r="N53" i="1"/>
  <c r="G32" i="1"/>
  <c r="G28" i="1"/>
  <c r="P2" i="2"/>
  <c r="N10" i="2"/>
  <c r="G87" i="2"/>
  <c r="G80" i="2"/>
  <c r="AG49" i="2"/>
  <c r="L70" i="2"/>
  <c r="L63" i="2"/>
  <c r="L69" i="2"/>
  <c r="L68" i="2"/>
  <c r="L67" i="2"/>
  <c r="L66" i="2"/>
  <c r="L62" i="2"/>
  <c r="L61" i="2"/>
  <c r="L60" i="2"/>
  <c r="L59" i="2"/>
  <c r="L56" i="2"/>
  <c r="L55" i="2"/>
  <c r="L54" i="2"/>
  <c r="L53" i="2"/>
  <c r="L52" i="2"/>
  <c r="L49" i="2"/>
  <c r="L48" i="2"/>
  <c r="L47" i="2"/>
  <c r="L46" i="2"/>
  <c r="L45" i="2"/>
  <c r="L38" i="2"/>
  <c r="L42" i="2"/>
  <c r="L41" i="2"/>
  <c r="L40" i="2"/>
  <c r="L39" i="2"/>
  <c r="V38" i="2"/>
  <c r="L25" i="2"/>
  <c r="L34" i="2"/>
  <c r="L33" i="2"/>
  <c r="L32" i="2"/>
  <c r="L31" i="2"/>
  <c r="L30" i="2"/>
  <c r="L27" i="2"/>
  <c r="L26" i="2"/>
  <c r="L24" i="2"/>
  <c r="L23" i="2"/>
  <c r="L20" i="2"/>
  <c r="L19" i="2"/>
  <c r="L18" i="2"/>
  <c r="L17" i="2"/>
  <c r="L16" i="2"/>
  <c r="L13" i="2"/>
  <c r="L12" i="2"/>
  <c r="L11" i="2"/>
  <c r="L10" i="2"/>
  <c r="L9" i="2"/>
  <c r="L3" i="2"/>
  <c r="L4" i="2"/>
  <c r="L5" i="2"/>
  <c r="L6" i="2"/>
  <c r="L2" i="2"/>
  <c r="AE70" i="2"/>
  <c r="AE56" i="2"/>
  <c r="AE49" i="2"/>
  <c r="F70" i="2"/>
  <c r="F63" i="2"/>
  <c r="AG63" i="2" s="1"/>
  <c r="F56" i="2"/>
  <c r="F49" i="2"/>
  <c r="AE42" i="2"/>
  <c r="AG42" i="2" s="1"/>
  <c r="F42" i="2"/>
  <c r="AE34" i="2"/>
  <c r="AE27" i="2"/>
  <c r="AE20" i="2"/>
  <c r="AE13" i="2"/>
  <c r="AE6" i="2"/>
  <c r="O34" i="2"/>
  <c r="F34" i="2"/>
  <c r="O27" i="2"/>
  <c r="F27" i="2"/>
  <c r="O20" i="2"/>
  <c r="F20" i="2"/>
  <c r="O13" i="2"/>
  <c r="F13" i="2"/>
  <c r="O6" i="2"/>
  <c r="F6" i="2"/>
  <c r="Y102" i="2"/>
  <c r="T102" i="2"/>
  <c r="Y101" i="2"/>
  <c r="T101" i="2"/>
  <c r="Y95" i="2"/>
  <c r="T95" i="2"/>
  <c r="Y94" i="2"/>
  <c r="T94" i="2"/>
  <c r="Y88" i="2"/>
  <c r="T88" i="2"/>
  <c r="Y87" i="2"/>
  <c r="T87" i="2"/>
  <c r="Y81" i="2"/>
  <c r="T81" i="2"/>
  <c r="Y80" i="2"/>
  <c r="T80" i="2"/>
  <c r="Y74" i="2"/>
  <c r="T74" i="2"/>
  <c r="Y73" i="2"/>
  <c r="T73" i="2"/>
  <c r="Y46" i="2"/>
  <c r="Y45" i="2"/>
  <c r="Y67" i="2"/>
  <c r="T67" i="2"/>
  <c r="Y66" i="2"/>
  <c r="T66" i="2"/>
  <c r="Y60" i="2"/>
  <c r="T60" i="2"/>
  <c r="Y59" i="2"/>
  <c r="T59" i="2"/>
  <c r="Y53" i="2"/>
  <c r="T53" i="2"/>
  <c r="Y52" i="2"/>
  <c r="T52" i="2"/>
  <c r="T46" i="2"/>
  <c r="T45" i="2"/>
  <c r="Y39" i="2"/>
  <c r="T39" i="2"/>
  <c r="Y38" i="2"/>
  <c r="T38" i="2"/>
  <c r="AE33" i="2"/>
  <c r="AE26" i="2"/>
  <c r="AE19" i="2"/>
  <c r="AE12" i="2"/>
  <c r="AE5" i="2"/>
  <c r="Y34" i="2"/>
  <c r="T34" i="2"/>
  <c r="Y33" i="2"/>
  <c r="T33" i="2"/>
  <c r="Y32" i="2"/>
  <c r="T32" i="2"/>
  <c r="Y31" i="2"/>
  <c r="T31" i="2"/>
  <c r="Y30" i="2"/>
  <c r="T30" i="2"/>
  <c r="Y27" i="2"/>
  <c r="T27" i="2"/>
  <c r="Y26" i="2"/>
  <c r="T26" i="2"/>
  <c r="Y25" i="2"/>
  <c r="T25" i="2"/>
  <c r="Y24" i="2"/>
  <c r="T24" i="2"/>
  <c r="Y23" i="2"/>
  <c r="T23" i="2"/>
  <c r="Y20" i="2"/>
  <c r="T20" i="2"/>
  <c r="Y19" i="2"/>
  <c r="T19" i="2"/>
  <c r="Y18" i="2"/>
  <c r="T18" i="2"/>
  <c r="Y17" i="2"/>
  <c r="T17" i="2"/>
  <c r="Y16" i="2"/>
  <c r="AA16" i="2" s="1"/>
  <c r="T16" i="2"/>
  <c r="V16" i="2" s="1"/>
  <c r="Y13" i="2"/>
  <c r="T13" i="2"/>
  <c r="Y12" i="2"/>
  <c r="T12" i="2"/>
  <c r="Y11" i="2"/>
  <c r="T11" i="2"/>
  <c r="Y10" i="2"/>
  <c r="T10" i="2"/>
  <c r="Y9" i="2"/>
  <c r="T9" i="2"/>
  <c r="T3" i="2"/>
  <c r="Y6" i="2"/>
  <c r="Y5" i="2"/>
  <c r="Y4" i="2"/>
  <c r="Y3" i="2"/>
  <c r="Y2" i="2"/>
  <c r="T6" i="2"/>
  <c r="V6" i="2" s="1"/>
  <c r="T5" i="2"/>
  <c r="T4" i="2"/>
  <c r="T2" i="2"/>
  <c r="AA20" i="2" l="1"/>
  <c r="AA34" i="2"/>
  <c r="AG6" i="2"/>
  <c r="V13" i="2"/>
  <c r="V27" i="2"/>
  <c r="AA13" i="2"/>
  <c r="AA27" i="2"/>
  <c r="V94" i="2"/>
  <c r="AA6" i="2"/>
  <c r="AG27" i="2"/>
  <c r="AG70" i="2"/>
  <c r="V20" i="2"/>
  <c r="V34" i="2"/>
  <c r="AG34" i="2"/>
  <c r="AG20" i="2"/>
  <c r="AG13" i="2"/>
  <c r="AG56" i="2"/>
  <c r="F105" i="2"/>
  <c r="F104" i="2"/>
  <c r="F103" i="2"/>
  <c r="F102" i="2"/>
  <c r="V102" i="2" s="1"/>
  <c r="F101" i="2"/>
  <c r="V101" i="2" s="1"/>
  <c r="F98" i="2"/>
  <c r="F97" i="2"/>
  <c r="F96" i="2"/>
  <c r="F95" i="2"/>
  <c r="V95" i="2" s="1"/>
  <c r="F91" i="2"/>
  <c r="F90" i="2"/>
  <c r="F89" i="2"/>
  <c r="F88" i="2"/>
  <c r="V88" i="2" s="1"/>
  <c r="F87" i="2"/>
  <c r="V87" i="2" s="1"/>
  <c r="J105" i="2"/>
  <c r="D105" i="2"/>
  <c r="J104" i="2"/>
  <c r="D104" i="2"/>
  <c r="J103" i="2"/>
  <c r="D103" i="2"/>
  <c r="G103" i="2" s="1"/>
  <c r="J102" i="2"/>
  <c r="D102" i="2"/>
  <c r="J101" i="2"/>
  <c r="D101" i="2"/>
  <c r="J98" i="2"/>
  <c r="D98" i="2"/>
  <c r="J97" i="2"/>
  <c r="D97" i="2"/>
  <c r="G97" i="2" s="1"/>
  <c r="J96" i="2"/>
  <c r="D96" i="2"/>
  <c r="J95" i="2"/>
  <c r="D95" i="2"/>
  <c r="J94" i="2"/>
  <c r="D94" i="2"/>
  <c r="J91" i="2"/>
  <c r="D91" i="2"/>
  <c r="J90" i="2"/>
  <c r="D90" i="2"/>
  <c r="J89" i="2"/>
  <c r="D89" i="2"/>
  <c r="G89" i="2" s="1"/>
  <c r="J88" i="2"/>
  <c r="D88" i="2"/>
  <c r="J87" i="2"/>
  <c r="D87" i="2"/>
  <c r="F84" i="2"/>
  <c r="F83" i="2"/>
  <c r="F82" i="2"/>
  <c r="F81" i="2"/>
  <c r="V81" i="2" s="1"/>
  <c r="F80" i="2"/>
  <c r="V80" i="2" s="1"/>
  <c r="J83" i="2"/>
  <c r="D83" i="2"/>
  <c r="J84" i="2"/>
  <c r="D84" i="2"/>
  <c r="J82" i="2"/>
  <c r="D82" i="2"/>
  <c r="J81" i="2"/>
  <c r="D81" i="2"/>
  <c r="J80" i="2"/>
  <c r="D80" i="2"/>
  <c r="J76" i="2"/>
  <c r="F77" i="2"/>
  <c r="F76" i="2"/>
  <c r="F75" i="2"/>
  <c r="F74" i="2"/>
  <c r="V74" i="2" s="1"/>
  <c r="F73" i="2"/>
  <c r="V73" i="2" s="1"/>
  <c r="D76" i="2"/>
  <c r="J77" i="2"/>
  <c r="D77" i="2"/>
  <c r="J75" i="2"/>
  <c r="D75" i="2"/>
  <c r="J74" i="2"/>
  <c r="D74" i="2"/>
  <c r="G74" i="2" s="1"/>
  <c r="J73" i="2"/>
  <c r="D73" i="2"/>
  <c r="F69" i="2"/>
  <c r="F68" i="2"/>
  <c r="F67" i="2"/>
  <c r="V67" i="2" s="1"/>
  <c r="F66" i="2"/>
  <c r="V66" i="2" s="1"/>
  <c r="J70" i="2"/>
  <c r="D70" i="2"/>
  <c r="G70" i="2" s="1"/>
  <c r="J69" i="2"/>
  <c r="D69" i="2"/>
  <c r="J68" i="2"/>
  <c r="D68" i="2"/>
  <c r="J67" i="2"/>
  <c r="D67" i="2"/>
  <c r="J66" i="2"/>
  <c r="D66" i="2"/>
  <c r="F62" i="2"/>
  <c r="F61" i="2"/>
  <c r="F60" i="2"/>
  <c r="V60" i="2" s="1"/>
  <c r="F59" i="2"/>
  <c r="V59" i="2" s="1"/>
  <c r="J63" i="2"/>
  <c r="D63" i="2"/>
  <c r="G63" i="2" s="1"/>
  <c r="J62" i="2"/>
  <c r="D62" i="2"/>
  <c r="J61" i="2"/>
  <c r="D61" i="2"/>
  <c r="J60" i="2"/>
  <c r="D60" i="2"/>
  <c r="J59" i="2"/>
  <c r="D59" i="2"/>
  <c r="F55" i="2"/>
  <c r="F54" i="2"/>
  <c r="F53" i="2"/>
  <c r="V53" i="2" s="1"/>
  <c r="F52" i="2"/>
  <c r="V52" i="2" s="1"/>
  <c r="J56" i="2"/>
  <c r="D56" i="2"/>
  <c r="G56" i="2" s="1"/>
  <c r="J55" i="2"/>
  <c r="D55" i="2"/>
  <c r="J54" i="2"/>
  <c r="D54" i="2"/>
  <c r="J53" i="2"/>
  <c r="D53" i="2"/>
  <c r="J52" i="2"/>
  <c r="D52" i="2"/>
  <c r="F48" i="2"/>
  <c r="F47" i="2"/>
  <c r="F46" i="2"/>
  <c r="V46" i="2" s="1"/>
  <c r="F45" i="2"/>
  <c r="V45" i="2" s="1"/>
  <c r="J49" i="2"/>
  <c r="D49" i="2"/>
  <c r="G49" i="2" s="1"/>
  <c r="J48" i="2"/>
  <c r="D48" i="2"/>
  <c r="J47" i="2"/>
  <c r="D47" i="2"/>
  <c r="J46" i="2"/>
  <c r="D46" i="2"/>
  <c r="J45" i="2"/>
  <c r="D45" i="2"/>
  <c r="F41" i="2"/>
  <c r="F40" i="2"/>
  <c r="F39" i="2"/>
  <c r="V39" i="2" s="1"/>
  <c r="F38" i="2"/>
  <c r="J42" i="2"/>
  <c r="D42" i="2"/>
  <c r="G42" i="2" s="1"/>
  <c r="J41" i="2"/>
  <c r="D41" i="2"/>
  <c r="J40" i="2"/>
  <c r="D40" i="2"/>
  <c r="J39" i="2"/>
  <c r="D39" i="2"/>
  <c r="J38" i="2"/>
  <c r="D38" i="2"/>
  <c r="F33" i="2"/>
  <c r="V33" i="2" s="1"/>
  <c r="F32" i="2"/>
  <c r="V32" i="2" s="1"/>
  <c r="F31" i="2"/>
  <c r="V31" i="2" s="1"/>
  <c r="F30" i="2"/>
  <c r="V30" i="2" s="1"/>
  <c r="J34" i="2"/>
  <c r="D34" i="2"/>
  <c r="G34" i="2" s="1"/>
  <c r="J33" i="2"/>
  <c r="D33" i="2"/>
  <c r="J32" i="2"/>
  <c r="D32" i="2"/>
  <c r="J31" i="2"/>
  <c r="D31" i="2"/>
  <c r="J30" i="2"/>
  <c r="D30" i="2"/>
  <c r="F26" i="2"/>
  <c r="V26" i="2" s="1"/>
  <c r="F25" i="2"/>
  <c r="V25" i="2" s="1"/>
  <c r="F24" i="2"/>
  <c r="V24" i="2" s="1"/>
  <c r="F23" i="2"/>
  <c r="V23" i="2" s="1"/>
  <c r="C25" i="2"/>
  <c r="B25" i="2"/>
  <c r="J27" i="2"/>
  <c r="D27" i="2"/>
  <c r="G27" i="2" s="1"/>
  <c r="J26" i="2"/>
  <c r="D26" i="2"/>
  <c r="J25" i="2"/>
  <c r="J24" i="2"/>
  <c r="D24" i="2"/>
  <c r="J23" i="2"/>
  <c r="D23" i="2"/>
  <c r="F19" i="2"/>
  <c r="AA19" i="2" s="1"/>
  <c r="F18" i="2"/>
  <c r="V18" i="2" s="1"/>
  <c r="F17" i="2"/>
  <c r="V17" i="2" s="1"/>
  <c r="J20" i="2"/>
  <c r="D20" i="2"/>
  <c r="G20" i="2" s="1"/>
  <c r="J19" i="2"/>
  <c r="D19" i="2"/>
  <c r="J18" i="2"/>
  <c r="D18" i="2"/>
  <c r="J17" i="2"/>
  <c r="D17" i="2"/>
  <c r="J16" i="2"/>
  <c r="D16" i="2"/>
  <c r="G16" i="2" s="1"/>
  <c r="F12" i="2"/>
  <c r="F11" i="2"/>
  <c r="V11" i="2" s="1"/>
  <c r="F10" i="2"/>
  <c r="V10" i="2" s="1"/>
  <c r="F9" i="2"/>
  <c r="V9" i="2" s="1"/>
  <c r="J13" i="2"/>
  <c r="D13" i="2"/>
  <c r="G13" i="2" s="1"/>
  <c r="J12" i="2"/>
  <c r="D12" i="2"/>
  <c r="J11" i="2"/>
  <c r="D11" i="2"/>
  <c r="J10" i="2"/>
  <c r="D10" i="2"/>
  <c r="J9" i="2"/>
  <c r="D9" i="2"/>
  <c r="F5" i="2"/>
  <c r="V5" i="2" s="1"/>
  <c r="F4" i="2"/>
  <c r="V4" i="2" s="1"/>
  <c r="F3" i="2"/>
  <c r="V3" i="2" s="1"/>
  <c r="F2" i="2"/>
  <c r="V2" i="2" s="1"/>
  <c r="J6" i="2"/>
  <c r="D6" i="2"/>
  <c r="G6" i="2" s="1"/>
  <c r="J5" i="2"/>
  <c r="D5" i="2"/>
  <c r="J4" i="2"/>
  <c r="D4" i="2"/>
  <c r="J3" i="2"/>
  <c r="D3" i="2"/>
  <c r="J2" i="2"/>
  <c r="D2" i="2"/>
  <c r="C51" i="1"/>
  <c r="C50" i="1"/>
  <c r="C49" i="1"/>
  <c r="C48" i="1"/>
  <c r="E48" i="1" s="1"/>
  <c r="C47" i="1"/>
  <c r="E47" i="1" s="1"/>
  <c r="E53" i="1"/>
  <c r="C41" i="1"/>
  <c r="E41" i="1" s="1"/>
  <c r="C40" i="1"/>
  <c r="E40" i="1" s="1"/>
  <c r="C39" i="1"/>
  <c r="E39" i="1" s="1"/>
  <c r="C38" i="1"/>
  <c r="E38" i="1" s="1"/>
  <c r="C37" i="1"/>
  <c r="E37" i="1" s="1"/>
  <c r="E43" i="1"/>
  <c r="E56" i="1"/>
  <c r="E55" i="1"/>
  <c r="E54" i="1"/>
  <c r="E52" i="1"/>
  <c r="E51" i="1"/>
  <c r="E50" i="1"/>
  <c r="E49" i="1"/>
  <c r="E46" i="1"/>
  <c r="E45" i="1"/>
  <c r="E44" i="1"/>
  <c r="E42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1" i="1"/>
  <c r="E18" i="1"/>
  <c r="E17" i="1"/>
  <c r="E16" i="1"/>
  <c r="E15" i="1"/>
  <c r="F15" i="1" s="1"/>
  <c r="E14" i="1"/>
  <c r="E13" i="1"/>
  <c r="E12" i="1"/>
  <c r="E10" i="1"/>
  <c r="E9" i="1"/>
  <c r="E8" i="1"/>
  <c r="E7" i="1"/>
  <c r="E6" i="1"/>
  <c r="E5" i="1"/>
  <c r="E4" i="1"/>
  <c r="E3" i="1"/>
  <c r="N49" i="2" l="1"/>
  <c r="M76" i="2"/>
  <c r="N63" i="2"/>
  <c r="N98" i="2"/>
  <c r="AA32" i="2"/>
  <c r="AA31" i="2"/>
  <c r="AA18" i="2"/>
  <c r="AG26" i="2"/>
  <c r="AA33" i="2"/>
  <c r="AA5" i="2"/>
  <c r="G5" i="2"/>
  <c r="G48" i="2"/>
  <c r="N84" i="2"/>
  <c r="V12" i="2"/>
  <c r="AA12" i="2"/>
  <c r="G77" i="2"/>
  <c r="N77" i="2"/>
  <c r="AA25" i="2"/>
  <c r="AG5" i="2"/>
  <c r="AA10" i="2"/>
  <c r="AA24" i="2"/>
  <c r="N23" i="2"/>
  <c r="G95" i="2"/>
  <c r="G101" i="2"/>
  <c r="AA2" i="2"/>
  <c r="AA17" i="2"/>
  <c r="AG33" i="2"/>
  <c r="N42" i="2"/>
  <c r="N56" i="2"/>
  <c r="N60" i="2"/>
  <c r="N70" i="2"/>
  <c r="N91" i="2"/>
  <c r="N105" i="2"/>
  <c r="AA11" i="2"/>
  <c r="AA30" i="2"/>
  <c r="N12" i="2"/>
  <c r="V19" i="2"/>
  <c r="AG19" i="2"/>
  <c r="N41" i="2"/>
  <c r="N47" i="2"/>
  <c r="N55" i="2"/>
  <c r="N59" i="2"/>
  <c r="N67" i="2"/>
  <c r="N69" i="2"/>
  <c r="G73" i="2"/>
  <c r="AG12" i="2"/>
  <c r="AA23" i="2"/>
  <c r="AA9" i="2"/>
  <c r="AA4" i="2"/>
  <c r="AA26" i="2"/>
  <c r="AA3" i="2"/>
  <c r="G105" i="2"/>
  <c r="G91" i="2"/>
  <c r="N3" i="2"/>
  <c r="N5" i="2"/>
  <c r="M9" i="2"/>
  <c r="N11" i="2"/>
  <c r="N13" i="2"/>
  <c r="P13" i="2" s="1"/>
  <c r="N17" i="2"/>
  <c r="N19" i="2"/>
  <c r="N26" i="2"/>
  <c r="G82" i="2"/>
  <c r="G75" i="2"/>
  <c r="G76" i="2"/>
  <c r="N6" i="2"/>
  <c r="P6" i="2" s="1"/>
  <c r="N20" i="2"/>
  <c r="P20" i="2" s="1"/>
  <c r="N27" i="2"/>
  <c r="P27" i="2" s="1"/>
  <c r="N34" i="2"/>
  <c r="P34" i="2" s="1"/>
  <c r="N45" i="2"/>
  <c r="N53" i="2"/>
  <c r="N61" i="2"/>
  <c r="G84" i="2"/>
  <c r="N94" i="2"/>
  <c r="M98" i="2"/>
  <c r="N4" i="2"/>
  <c r="N16" i="2"/>
  <c r="N18" i="2"/>
  <c r="N30" i="2"/>
  <c r="N32" i="2"/>
  <c r="N39" i="2"/>
  <c r="M73" i="2"/>
  <c r="N75" i="2"/>
  <c r="N76" i="2"/>
  <c r="G81" i="2"/>
  <c r="G88" i="2"/>
  <c r="G94" i="2"/>
  <c r="G98" i="2"/>
  <c r="M104" i="2"/>
  <c r="G104" i="2"/>
  <c r="M105" i="2"/>
  <c r="N31" i="2"/>
  <c r="N33" i="2"/>
  <c r="N38" i="2"/>
  <c r="N40" i="2"/>
  <c r="N46" i="2"/>
  <c r="N48" i="2"/>
  <c r="N52" i="2"/>
  <c r="N54" i="2"/>
  <c r="N62" i="2"/>
  <c r="N66" i="2"/>
  <c r="N68" i="2"/>
  <c r="N74" i="2"/>
  <c r="G83" i="2"/>
  <c r="M90" i="2"/>
  <c r="G90" i="2"/>
  <c r="G96" i="2"/>
  <c r="G102" i="2"/>
  <c r="G2" i="2"/>
  <c r="N24" i="2"/>
  <c r="N2" i="2"/>
  <c r="N9" i="2"/>
  <c r="M75" i="2"/>
  <c r="M38" i="2"/>
  <c r="M74" i="2"/>
  <c r="M77" i="2"/>
  <c r="M84" i="2"/>
  <c r="G12" i="2"/>
  <c r="G23" i="2"/>
  <c r="N102" i="2"/>
  <c r="N101" i="2"/>
  <c r="N104" i="2"/>
  <c r="N103" i="2"/>
  <c r="M102" i="2"/>
  <c r="M101" i="2"/>
  <c r="M97" i="2"/>
  <c r="M96" i="2"/>
  <c r="N95" i="2"/>
  <c r="M103" i="2"/>
  <c r="M95" i="2"/>
  <c r="N96" i="2"/>
  <c r="M94" i="2"/>
  <c r="N97" i="2"/>
  <c r="M87" i="2"/>
  <c r="M89" i="2"/>
  <c r="N87" i="2"/>
  <c r="N88" i="2"/>
  <c r="N89" i="2"/>
  <c r="N90" i="2"/>
  <c r="M88" i="2"/>
  <c r="M91" i="2"/>
  <c r="N82" i="2"/>
  <c r="N83" i="2"/>
  <c r="N80" i="2"/>
  <c r="N81" i="2"/>
  <c r="M80" i="2"/>
  <c r="M81" i="2"/>
  <c r="M82" i="2"/>
  <c r="M83" i="2"/>
  <c r="N73" i="2"/>
  <c r="G18" i="2"/>
  <c r="G33" i="2"/>
  <c r="G41" i="2"/>
  <c r="G69" i="2"/>
  <c r="G26" i="2"/>
  <c r="M24" i="2"/>
  <c r="M27" i="2"/>
  <c r="M49" i="2"/>
  <c r="M67" i="2"/>
  <c r="G62" i="2"/>
  <c r="M34" i="2"/>
  <c r="M70" i="2"/>
  <c r="M16" i="2"/>
  <c r="G47" i="2"/>
  <c r="M20" i="2"/>
  <c r="M63" i="2"/>
  <c r="G68" i="2"/>
  <c r="G24" i="2"/>
  <c r="G31" i="2"/>
  <c r="G55" i="2"/>
  <c r="G67" i="2"/>
  <c r="M66" i="2"/>
  <c r="M68" i="2"/>
  <c r="M69" i="2"/>
  <c r="G66" i="2"/>
  <c r="M59" i="2"/>
  <c r="G61" i="2"/>
  <c r="G59" i="2"/>
  <c r="G60" i="2"/>
  <c r="M60" i="2"/>
  <c r="M62" i="2"/>
  <c r="M61" i="2"/>
  <c r="M52" i="2"/>
  <c r="G54" i="2"/>
  <c r="G53" i="2"/>
  <c r="M55" i="2"/>
  <c r="M54" i="2"/>
  <c r="M53" i="2"/>
  <c r="M56" i="2"/>
  <c r="G52" i="2"/>
  <c r="M45" i="2"/>
  <c r="G46" i="2"/>
  <c r="M46" i="2"/>
  <c r="M47" i="2"/>
  <c r="M48" i="2"/>
  <c r="G45" i="2"/>
  <c r="G40" i="2"/>
  <c r="G39" i="2"/>
  <c r="M39" i="2"/>
  <c r="M42" i="2"/>
  <c r="M40" i="2"/>
  <c r="M41" i="2"/>
  <c r="G38" i="2"/>
  <c r="G32" i="2"/>
  <c r="M30" i="2"/>
  <c r="G30" i="2"/>
  <c r="M31" i="2"/>
  <c r="M33" i="2"/>
  <c r="M32" i="2"/>
  <c r="D25" i="2"/>
  <c r="G25" i="2" s="1"/>
  <c r="M23" i="2"/>
  <c r="M26" i="2"/>
  <c r="M19" i="2"/>
  <c r="G17" i="2"/>
  <c r="M17" i="2"/>
  <c r="M18" i="2"/>
  <c r="G19" i="2"/>
  <c r="G11" i="2"/>
  <c r="M10" i="2"/>
  <c r="M13" i="2"/>
  <c r="G10" i="2"/>
  <c r="M11" i="2"/>
  <c r="M12" i="2"/>
  <c r="G9" i="2"/>
  <c r="G4" i="2"/>
  <c r="M4" i="2"/>
  <c r="M2" i="2"/>
  <c r="M5" i="2"/>
  <c r="M6" i="2"/>
  <c r="M3" i="2"/>
  <c r="G3" i="2"/>
  <c r="F37" i="1"/>
  <c r="G37" i="1" s="1"/>
  <c r="F28" i="1"/>
  <c r="F42" i="1"/>
  <c r="F52" i="1"/>
  <c r="F32" i="1"/>
  <c r="F47" i="1"/>
  <c r="G47" i="1" s="1"/>
  <c r="F24" i="1"/>
  <c r="F20" i="1"/>
  <c r="F11" i="1"/>
  <c r="H11" i="1" s="1"/>
  <c r="G15" i="1"/>
  <c r="F7" i="1"/>
  <c r="F3" i="1"/>
  <c r="O33" i="2" l="1"/>
  <c r="O26" i="2"/>
  <c r="P26" i="2" s="1"/>
  <c r="O19" i="2"/>
  <c r="P19" i="2" s="1"/>
  <c r="O12" i="2"/>
  <c r="P12" i="2" s="1"/>
  <c r="O3" i="2"/>
  <c r="P3" i="2" s="1"/>
  <c r="O32" i="2"/>
  <c r="P32" i="2" s="1"/>
  <c r="O25" i="2"/>
  <c r="O18" i="2"/>
  <c r="P18" i="2" s="1"/>
  <c r="O11" i="2"/>
  <c r="P11" i="2" s="1"/>
  <c r="O4" i="2"/>
  <c r="O31" i="2"/>
  <c r="P31" i="2" s="1"/>
  <c r="O24" i="2"/>
  <c r="P24" i="2" s="1"/>
  <c r="O17" i="2"/>
  <c r="O10" i="2"/>
  <c r="P10" i="2" s="1"/>
  <c r="O5" i="2"/>
  <c r="P5" i="2" s="1"/>
  <c r="O30" i="2"/>
  <c r="P30" i="2" s="1"/>
  <c r="O23" i="2"/>
  <c r="P23" i="2" s="1"/>
  <c r="O16" i="2"/>
  <c r="O9" i="2"/>
  <c r="O2" i="2"/>
  <c r="P33" i="2"/>
  <c r="P4" i="2"/>
  <c r="G52" i="1"/>
  <c r="H47" i="1"/>
  <c r="H28" i="1"/>
  <c r="H37" i="1"/>
  <c r="G7" i="1"/>
  <c r="H3" i="1"/>
  <c r="G24" i="1"/>
  <c r="H20" i="1"/>
  <c r="N34" i="1"/>
  <c r="O34" i="1" s="1"/>
  <c r="N25" i="2"/>
  <c r="M25" i="2"/>
  <c r="I47" i="1"/>
  <c r="I37" i="1"/>
  <c r="G42" i="1"/>
  <c r="I28" i="1"/>
  <c r="G20" i="1"/>
  <c r="I20" i="1"/>
  <c r="G11" i="1"/>
  <c r="I11" i="1"/>
  <c r="I3" i="1"/>
  <c r="G3" i="1"/>
  <c r="P25" i="2" l="1"/>
  <c r="O70" i="2"/>
  <c r="P70" i="2" s="1"/>
  <c r="O61" i="2"/>
  <c r="P61" i="2" s="1"/>
  <c r="O53" i="2"/>
  <c r="P53" i="2" s="1"/>
  <c r="O48" i="2"/>
  <c r="P48" i="2" s="1"/>
  <c r="O45" i="2"/>
  <c r="P45" i="2" s="1"/>
  <c r="O40" i="2"/>
  <c r="P40" i="2" s="1"/>
  <c r="O69" i="2"/>
  <c r="P69" i="2" s="1"/>
  <c r="O66" i="2"/>
  <c r="P66" i="2" s="1"/>
  <c r="O56" i="2"/>
  <c r="P56" i="2" s="1"/>
  <c r="O47" i="2"/>
  <c r="P47" i="2" s="1"/>
  <c r="O41" i="2"/>
  <c r="P41" i="2" s="1"/>
  <c r="O68" i="2"/>
  <c r="P68" i="2" s="1"/>
  <c r="O63" i="2"/>
  <c r="P63" i="2" s="1"/>
  <c r="O60" i="2"/>
  <c r="P60" i="2" s="1"/>
  <c r="O55" i="2"/>
  <c r="P55" i="2" s="1"/>
  <c r="O52" i="2"/>
  <c r="P52" i="2" s="1"/>
  <c r="O42" i="2"/>
  <c r="P42" i="2" s="1"/>
  <c r="O67" i="2"/>
  <c r="P67" i="2" s="1"/>
  <c r="O62" i="2"/>
  <c r="P62" i="2" s="1"/>
  <c r="O59" i="2"/>
  <c r="P59" i="2" s="1"/>
  <c r="O54" i="2"/>
  <c r="P54" i="2" s="1"/>
  <c r="O49" i="2"/>
  <c r="P49" i="2" s="1"/>
  <c r="O46" i="2"/>
  <c r="P46" i="2" s="1"/>
  <c r="O39" i="2"/>
  <c r="P39" i="2" s="1"/>
  <c r="O38" i="2"/>
  <c r="P38" i="2" s="1"/>
  <c r="O103" i="2"/>
  <c r="P103" i="2" s="1"/>
  <c r="O91" i="2"/>
  <c r="P91" i="2" s="1"/>
  <c r="O87" i="2"/>
  <c r="P87" i="2" s="1"/>
  <c r="O80" i="2"/>
  <c r="P80" i="2" s="1"/>
  <c r="O75" i="2"/>
  <c r="P75" i="2" s="1"/>
  <c r="O104" i="2"/>
  <c r="P104" i="2" s="1"/>
  <c r="O98" i="2"/>
  <c r="P98" i="2" s="1"/>
  <c r="O94" i="2"/>
  <c r="P94" i="2" s="1"/>
  <c r="O88" i="2"/>
  <c r="P88" i="2" s="1"/>
  <c r="O83" i="2"/>
  <c r="P83" i="2" s="1"/>
  <c r="O81" i="2"/>
  <c r="P81" i="2" s="1"/>
  <c r="O76" i="2"/>
  <c r="P76" i="2" s="1"/>
  <c r="O105" i="2"/>
  <c r="P105" i="2" s="1"/>
  <c r="O101" i="2"/>
  <c r="P101" i="2" s="1"/>
  <c r="O95" i="2"/>
  <c r="P95" i="2" s="1"/>
  <c r="O89" i="2"/>
  <c r="P89" i="2" s="1"/>
  <c r="O84" i="2"/>
  <c r="P84" i="2" s="1"/>
  <c r="O82" i="2"/>
  <c r="P82" i="2" s="1"/>
  <c r="O77" i="2"/>
  <c r="P77" i="2" s="1"/>
  <c r="O102" i="2"/>
  <c r="P102" i="2" s="1"/>
  <c r="O96" i="2"/>
  <c r="P96" i="2" s="1"/>
  <c r="O90" i="2"/>
  <c r="P90" i="2" s="1"/>
  <c r="O74" i="2"/>
  <c r="P74" i="2" s="1"/>
  <c r="O73" i="2"/>
  <c r="P73" i="2" s="1"/>
  <c r="O97" i="2"/>
  <c r="P97" i="2" s="1"/>
</calcChain>
</file>

<file path=xl/sharedStrings.xml><?xml version="1.0" encoding="utf-8"?>
<sst xmlns="http://schemas.openxmlformats.org/spreadsheetml/2006/main" count="501" uniqueCount="99">
  <si>
    <t>Colony Count</t>
  </si>
  <si>
    <t>Dilution Factor</t>
  </si>
  <si>
    <t>CFUs/50uL</t>
  </si>
  <si>
    <t>Average CFUs</t>
  </si>
  <si>
    <t>Log CFUs</t>
  </si>
  <si>
    <t>%tagged/total</t>
  </si>
  <si>
    <t>OD reached</t>
  </si>
  <si>
    <t>BL048 WT + BL048hygR 1:1</t>
  </si>
  <si>
    <t xml:space="preserve"> --&gt;</t>
  </si>
  <si>
    <t>BL048 hygR 1:1</t>
  </si>
  <si>
    <t>(LB plates)</t>
  </si>
  <si>
    <t>(LB hyg500 plates)</t>
  </si>
  <si>
    <t>BL048 WT = 0.344</t>
  </si>
  <si>
    <t>BL048 hygR = 0.345</t>
  </si>
  <si>
    <t>44% of input is HygR</t>
  </si>
  <si>
    <t>56% of input is HygS</t>
  </si>
  <si>
    <t>(VBM plates)</t>
  </si>
  <si>
    <t>(VBM hyg500 plates)</t>
  </si>
  <si>
    <t>59% of input is HygR</t>
  </si>
  <si>
    <t>41% of input is HygS</t>
  </si>
  <si>
    <t>(LB gent10 plates)</t>
  </si>
  <si>
    <t>(VBM gent10 plates)</t>
  </si>
  <si>
    <t>BL012 WT + BL012GentR 1:1</t>
  </si>
  <si>
    <t>BL012 GentR 1:1</t>
  </si>
  <si>
    <t>41% of input is GentR</t>
  </si>
  <si>
    <t>59% of input is GentS</t>
  </si>
  <si>
    <t>BL012 WT = 0.323</t>
  </si>
  <si>
    <t>BL012 GentR = 0.326</t>
  </si>
  <si>
    <t>59% of input is GentR</t>
  </si>
  <si>
    <t>41% of input is GentS</t>
  </si>
  <si>
    <t>(LB Xgal100 plates - white and blue colonies)</t>
  </si>
  <si>
    <t>(LB Xgal100 plates - blue colonies)</t>
  </si>
  <si>
    <t>(VBM Xgal100 plates - white and blue colonies)</t>
  </si>
  <si>
    <t>(VBM Xgal100 plates - blue colonies)</t>
  </si>
  <si>
    <t>BL012 WT + BL012LacZ 1:1</t>
  </si>
  <si>
    <t>BL012 LACZ 1:1</t>
  </si>
  <si>
    <t>BL012 LacZ = 0.322</t>
  </si>
  <si>
    <t>BL012 GentR = 0.322</t>
  </si>
  <si>
    <t>52% of input is LacZ</t>
  </si>
  <si>
    <t>59% of input is WT</t>
  </si>
  <si>
    <t>61% of input is LacZ</t>
  </si>
  <si>
    <t>39% of input is WT</t>
  </si>
  <si>
    <t>mean in 10 µL</t>
  </si>
  <si>
    <t>Dilution factor</t>
  </si>
  <si>
    <t>feces weights (mg)</t>
  </si>
  <si>
    <t>Total log10 CFU/g of feces</t>
  </si>
  <si>
    <t>% hygR / Total</t>
  </si>
  <si>
    <t>day 3</t>
  </si>
  <si>
    <t>day 5</t>
  </si>
  <si>
    <t>day 10</t>
  </si>
  <si>
    <t>day 14</t>
  </si>
  <si>
    <t>day 7</t>
  </si>
  <si>
    <t>BL048 hygR:BL048 total 59% mouse 1</t>
  </si>
  <si>
    <t>total number of CFU - VBM plates</t>
  </si>
  <si>
    <t>BL048 hygR number of CFU - VBM hyg500 plates</t>
  </si>
  <si>
    <t>BL048 hygR:BL048 total 59% mouse 2</t>
  </si>
  <si>
    <t>/</t>
  </si>
  <si>
    <t>BL048 hygR:BL048 total 59% mouse 3</t>
  </si>
  <si>
    <t>day 3 - didn’t poop</t>
  </si>
  <si>
    <t>BL048 hygR:BL048 total 59% mouse 4</t>
  </si>
  <si>
    <t xml:space="preserve">day 3 </t>
  </si>
  <si>
    <t>BL048 hygR:BL048 total 59% mouse 5</t>
  </si>
  <si>
    <t>BL012 GentR:BL012 total 59% mouse 1</t>
  </si>
  <si>
    <t>BL012 GentR number of CFU - VBM gent10 plates</t>
  </si>
  <si>
    <t>BL012 GentR:BL012 total 59% mouse 2</t>
  </si>
  <si>
    <t>% GentR / Total</t>
  </si>
  <si>
    <t>BL012 GentR:BL012 total 59% mouse 3</t>
  </si>
  <si>
    <t>BL012 GentR:BL012 total 59% mouse 4</t>
  </si>
  <si>
    <t>BL012 GentR:BL012 total 59% mouse 5</t>
  </si>
  <si>
    <t>BL012 LacZ:BL012 total 61% mouse 1</t>
  </si>
  <si>
    <t>% LacZ / Total</t>
  </si>
  <si>
    <t>Ratio (mut/WT)</t>
  </si>
  <si>
    <t>Competitive index</t>
  </si>
  <si>
    <t>Output ratio HygR/WT</t>
  </si>
  <si>
    <t>Input ratio HygR/WT</t>
  </si>
  <si>
    <t>BL012 WT - VBM Xgal100 plates - white colonies</t>
  </si>
  <si>
    <t>BL012 LacZ - VBM Xgal100 plates - blue colonies</t>
  </si>
  <si>
    <t>Output ratio GentR/WT</t>
  </si>
  <si>
    <t>Input ratio GentR/WT</t>
  </si>
  <si>
    <t>Output ratio LacZ/WT</t>
  </si>
  <si>
    <t>Input ratio LacZ/WT</t>
  </si>
  <si>
    <t>BL012 LacZ:BL012 total 61% mouse 2</t>
  </si>
  <si>
    <t>BL012 LacZ:BL012 total 61% mouse 3</t>
  </si>
  <si>
    <t>BL012 LacZ:BL012 total 61% mouse 4</t>
  </si>
  <si>
    <t>BL012 LacZ:BL012 total 61% mouse 5</t>
  </si>
  <si>
    <t>day 3 - didn't poop</t>
  </si>
  <si>
    <t>total number of CFU - LBirg5 plates</t>
  </si>
  <si>
    <t>BL048 hygR number of CFU - LBirg5hyg500 plates</t>
  </si>
  <si>
    <t>BL048 hygR number of CFU - LBhyg500 plates</t>
  </si>
  <si>
    <t>BL012 GentR - LBirg5gent10 plates</t>
  </si>
  <si>
    <t>BL012 WT - LBirg5Xgal100 plates - white colonies</t>
  </si>
  <si>
    <t>BL012 LacZ - LBirg5Xgal100 plates - blue colonies</t>
  </si>
  <si>
    <t>Log10 HygR CFU/g of feces</t>
  </si>
  <si>
    <t>BL012 GentR number of CFU - LBgent10 plates</t>
  </si>
  <si>
    <t>Log10 GentR CFU/g of feces</t>
  </si>
  <si>
    <t>log10 Bl048hygR CFU/g of feces</t>
  </si>
  <si>
    <t>log10 BL012gentR CFU/g of feces</t>
  </si>
  <si>
    <t>Competitive index (WT/LacZ)</t>
  </si>
  <si>
    <t xml:space="preserve">BL012/BL012 LacZ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</si>
</sst>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  <font>
      <sz val="12"/>
      <color theme="2" tint="-0.499984740745262"/>
      <name val="Calibri"/>
      <family val="2"/>
      <scheme val="minor"/>
    </font>
    <font>
      <sz val="12"/>
      <color theme="2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8" xfId="0" applyBorder="1"/>
    <xf numFmtId="11" fontId="0" fillId="0" borderId="8" xfId="0" applyNumberFormat="1" applyBorder="1" applyAlignment="1">
      <alignment horizontal="center" vertical="center"/>
    </xf>
    <xf numFmtId="0" fontId="4" fillId="0" borderId="0" xfId="0" applyFont="1"/>
    <xf numFmtId="0" fontId="0" fillId="2" borderId="0" xfId="0" applyFill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5" fontId="1" fillId="3" borderId="0" xfId="0" applyNumberFormat="1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3" borderId="0" xfId="0" applyNumberFormat="1" applyFill="1"/>
    <xf numFmtId="1" fontId="0" fillId="0" borderId="0" xfId="0" applyNumberFormat="1" applyAlignment="1">
      <alignment horizontal="center" vertical="center"/>
    </xf>
    <xf numFmtId="10" fontId="0" fillId="3" borderId="0" xfId="0" applyNumberFormat="1" applyFill="1"/>
    <xf numFmtId="2" fontId="0" fillId="0" borderId="0" xfId="0" applyNumberFormat="1"/>
    <xf numFmtId="0" fontId="0" fillId="4" borderId="0" xfId="0" applyFill="1"/>
    <xf numFmtId="2" fontId="1" fillId="0" borderId="0" xfId="0" applyNumberFormat="1" applyFont="1" applyAlignment="1">
      <alignment horizontal="center" vertical="center" wrapText="1"/>
    </xf>
    <xf numFmtId="11" fontId="0" fillId="0" borderId="0" xfId="0" applyNumberFormat="1"/>
    <xf numFmtId="2" fontId="0" fillId="5" borderId="0" xfId="0" applyNumberFormat="1" applyFill="1"/>
    <xf numFmtId="165" fontId="0" fillId="3" borderId="0" xfId="0" applyNumberFormat="1" applyFill="1" applyAlignment="1">
      <alignment horizontal="center" vertical="center"/>
    </xf>
    <xf numFmtId="165" fontId="0" fillId="5" borderId="0" xfId="0" applyNumberFormat="1" applyFill="1" applyAlignment="1">
      <alignment horizontal="center" vertical="center"/>
    </xf>
    <xf numFmtId="165" fontId="0" fillId="4" borderId="0" xfId="0" applyNumberFormat="1" applyFill="1"/>
    <xf numFmtId="165" fontId="0" fillId="0" borderId="0" xfId="0" applyNumberFormat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/>
    <xf numFmtId="0" fontId="0" fillId="0" borderId="1" xfId="0" applyBorder="1" applyAlignment="1">
      <alignment horizontal="center"/>
    </xf>
    <xf numFmtId="0" fontId="0" fillId="0" borderId="11" xfId="0" applyBorder="1"/>
    <xf numFmtId="0" fontId="0" fillId="0" borderId="9" xfId="0" applyBorder="1" applyAlignment="1">
      <alignment horizontal="center"/>
    </xf>
    <xf numFmtId="1" fontId="0" fillId="0" borderId="5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11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165" fontId="1" fillId="3" borderId="3" xfId="0" applyNumberFormat="1" applyFont="1" applyFill="1" applyBorder="1" applyAlignment="1">
      <alignment horizontal="center" vertical="center" wrapText="1"/>
    </xf>
    <xf numFmtId="164" fontId="0" fillId="0" borderId="3" xfId="0" applyNumberFormat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4" borderId="0" xfId="0" applyNumberFormat="1" applyFill="1"/>
    <xf numFmtId="164" fontId="0" fillId="0" borderId="0" xfId="0" applyNumberFormat="1"/>
    <xf numFmtId="165" fontId="1" fillId="3" borderId="2" xfId="0" applyNumberFormat="1" applyFont="1" applyFill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165" fontId="0" fillId="4" borderId="0" xfId="0" applyNumberFormat="1" applyFill="1" applyAlignment="1">
      <alignment horizontal="center"/>
    </xf>
    <xf numFmtId="165" fontId="0" fillId="3" borderId="0" xfId="0" applyNumberFormat="1" applyFill="1" applyAlignment="1">
      <alignment horizontal="center"/>
    </xf>
    <xf numFmtId="165" fontId="0" fillId="3" borderId="8" xfId="0" applyNumberFormat="1" applyFill="1" applyBorder="1" applyAlignment="1">
      <alignment horizontal="center"/>
    </xf>
    <xf numFmtId="165" fontId="0" fillId="3" borderId="6" xfId="0" applyNumberForma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1" fontId="0" fillId="0" borderId="8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2" borderId="4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64" fontId="0" fillId="2" borderId="9" xfId="0" applyNumberFormat="1" applyFill="1" applyBorder="1" applyAlignment="1">
      <alignment horizontal="center" vertical="center"/>
    </xf>
    <xf numFmtId="4" fontId="0" fillId="3" borderId="5" xfId="0" applyNumberFormat="1" applyFill="1" applyBorder="1" applyAlignment="1">
      <alignment horizontal="center" vertical="center"/>
    </xf>
    <xf numFmtId="10" fontId="0" fillId="0" borderId="0" xfId="0" applyNumberFormat="1" applyAlignment="1">
      <alignment horizontal="center" vertical="center" wrapText="1"/>
    </xf>
    <xf numFmtId="4" fontId="0" fillId="0" borderId="5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6" borderId="0" xfId="0" applyFill="1" applyAlignment="1">
      <alignment horizontal="center" vertical="center" wrapText="1"/>
    </xf>
    <xf numFmtId="0" fontId="0" fillId="6" borderId="0" xfId="0" applyFill="1"/>
    <xf numFmtId="165" fontId="0" fillId="6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5397C-8814-3840-96C8-E068B2416990}">
  <dimension ref="A1:O56"/>
  <sheetViews>
    <sheetView topLeftCell="A34" workbookViewId="0">
      <selection activeCell="N53" sqref="N53"/>
    </sheetView>
  </sheetViews>
  <sheetFormatPr baseColWidth="10" defaultRowHeight="16" x14ac:dyDescent="0.2"/>
  <cols>
    <col min="1" max="1" width="12.83203125" customWidth="1"/>
    <col min="2" max="2" width="12.33203125" customWidth="1"/>
    <col min="8" max="8" width="15.33203125" customWidth="1"/>
  </cols>
  <sheetData>
    <row r="1" spans="1:13" x14ac:dyDescent="0.2">
      <c r="B1" s="1"/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71</v>
      </c>
      <c r="I1" s="2" t="s">
        <v>5</v>
      </c>
      <c r="J1" s="2" t="s">
        <v>6</v>
      </c>
    </row>
    <row r="2" spans="1:13" x14ac:dyDescent="0.2">
      <c r="B2" s="1"/>
      <c r="C2" s="2"/>
      <c r="D2" s="2"/>
      <c r="E2" s="2"/>
      <c r="F2" s="2"/>
      <c r="G2" s="2"/>
      <c r="H2" s="2"/>
      <c r="I2" s="2"/>
      <c r="J2" s="2"/>
    </row>
    <row r="3" spans="1:13" x14ac:dyDescent="0.2">
      <c r="A3" s="51" t="s">
        <v>10</v>
      </c>
      <c r="B3" s="52" t="s">
        <v>7</v>
      </c>
      <c r="C3" s="3">
        <v>68</v>
      </c>
      <c r="D3" s="4">
        <v>1000</v>
      </c>
      <c r="E3" s="4">
        <f>C3*5*D3</f>
        <v>340000</v>
      </c>
      <c r="F3" s="55">
        <f>AVERAGE(E3:E6)</f>
        <v>358750</v>
      </c>
      <c r="G3" s="61">
        <f>LOG10(F3)</f>
        <v>5.5547919097420486</v>
      </c>
      <c r="H3" s="66">
        <f>(F7/(F3-F7))</f>
        <v>0.78260869565217395</v>
      </c>
      <c r="I3" s="65">
        <f>F7/F3</f>
        <v>0.43902439024390244</v>
      </c>
      <c r="J3" s="50" t="s">
        <v>12</v>
      </c>
    </row>
    <row r="4" spans="1:13" x14ac:dyDescent="0.2">
      <c r="A4" s="51"/>
      <c r="B4" s="53"/>
      <c r="C4">
        <v>66</v>
      </c>
      <c r="D4" s="5">
        <v>1000</v>
      </c>
      <c r="E4" s="5">
        <f t="shared" ref="E4:E6" si="0">C4*5*D4</f>
        <v>330000</v>
      </c>
      <c r="F4" s="56"/>
      <c r="G4" s="62"/>
      <c r="H4" s="66"/>
      <c r="I4" s="65"/>
      <c r="J4" s="50"/>
    </row>
    <row r="5" spans="1:13" x14ac:dyDescent="0.2">
      <c r="A5" s="51"/>
      <c r="B5" s="53"/>
      <c r="C5">
        <v>74</v>
      </c>
      <c r="D5" s="5">
        <v>1000</v>
      </c>
      <c r="E5" s="5">
        <f t="shared" si="0"/>
        <v>370000</v>
      </c>
      <c r="F5" s="56"/>
      <c r="G5" s="62"/>
      <c r="H5" s="66"/>
      <c r="I5" s="65"/>
      <c r="J5" s="50"/>
      <c r="K5" s="8" t="s">
        <v>8</v>
      </c>
      <c r="L5" s="8" t="s">
        <v>14</v>
      </c>
    </row>
    <row r="6" spans="1:13" x14ac:dyDescent="0.2">
      <c r="A6" s="51"/>
      <c r="B6" s="53"/>
      <c r="C6">
        <v>79</v>
      </c>
      <c r="D6" s="5">
        <v>1000</v>
      </c>
      <c r="E6" s="7">
        <f t="shared" si="0"/>
        <v>395000</v>
      </c>
      <c r="F6" s="56"/>
      <c r="G6" s="62"/>
      <c r="H6" s="66"/>
      <c r="I6" s="65"/>
      <c r="J6" s="50"/>
      <c r="K6" s="8"/>
      <c r="L6" s="8" t="s">
        <v>15</v>
      </c>
    </row>
    <row r="7" spans="1:13" x14ac:dyDescent="0.2">
      <c r="A7" s="51" t="s">
        <v>11</v>
      </c>
      <c r="B7" s="52" t="s">
        <v>9</v>
      </c>
      <c r="C7" s="3">
        <v>25</v>
      </c>
      <c r="D7" s="4">
        <v>1000</v>
      </c>
      <c r="E7" s="4">
        <f>C7*5*D7</f>
        <v>125000</v>
      </c>
      <c r="F7" s="55">
        <f>AVERAGE(E7:E10)</f>
        <v>157500</v>
      </c>
      <c r="G7" s="58">
        <f>LOG10(F7)</f>
        <v>5.1972805581256196</v>
      </c>
      <c r="H7" s="66"/>
      <c r="I7" s="65"/>
      <c r="J7" s="50" t="s">
        <v>13</v>
      </c>
    </row>
    <row r="8" spans="1:13" x14ac:dyDescent="0.2">
      <c r="A8" s="51"/>
      <c r="B8" s="53"/>
      <c r="C8">
        <v>40</v>
      </c>
      <c r="D8" s="5">
        <v>1000</v>
      </c>
      <c r="E8" s="5">
        <f t="shared" ref="E8:E9" si="1">C8*5*D8</f>
        <v>200000</v>
      </c>
      <c r="F8" s="56"/>
      <c r="G8" s="59"/>
      <c r="H8" s="66"/>
      <c r="I8" s="65"/>
      <c r="J8" s="50"/>
    </row>
    <row r="9" spans="1:13" x14ac:dyDescent="0.2">
      <c r="A9" s="51"/>
      <c r="B9" s="53"/>
      <c r="C9">
        <v>31</v>
      </c>
      <c r="D9" s="5">
        <v>1000</v>
      </c>
      <c r="E9" s="5">
        <f t="shared" si="1"/>
        <v>155000</v>
      </c>
      <c r="F9" s="56"/>
      <c r="G9" s="59"/>
      <c r="H9" s="66"/>
      <c r="I9" s="65"/>
      <c r="J9" s="50"/>
    </row>
    <row r="10" spans="1:13" x14ac:dyDescent="0.2">
      <c r="A10" s="51"/>
      <c r="B10" s="54"/>
      <c r="C10" s="6">
        <v>30</v>
      </c>
      <c r="D10" s="7">
        <v>1000</v>
      </c>
      <c r="E10" s="7">
        <f>C10*5*D10</f>
        <v>150000</v>
      </c>
      <c r="F10" s="57"/>
      <c r="G10" s="60"/>
      <c r="H10" s="66"/>
      <c r="I10" s="65"/>
      <c r="J10" s="50"/>
    </row>
    <row r="11" spans="1:13" x14ac:dyDescent="0.2">
      <c r="A11" s="51" t="s">
        <v>16</v>
      </c>
      <c r="B11" s="52" t="s">
        <v>7</v>
      </c>
      <c r="C11" s="3">
        <v>65</v>
      </c>
      <c r="D11" s="4">
        <v>1000</v>
      </c>
      <c r="E11" s="4">
        <f>C11*5*D11</f>
        <v>325000</v>
      </c>
      <c r="F11" s="55">
        <f>AVERAGE(E11:E14)</f>
        <v>335000</v>
      </c>
      <c r="G11" s="61">
        <f>LOG10(F11)</f>
        <v>5.5250448070368456</v>
      </c>
      <c r="H11" s="64">
        <f>F15/(F11-F15)</f>
        <v>1.4144144144144144</v>
      </c>
      <c r="I11" s="65">
        <f>F15/F11</f>
        <v>0.58582089552238803</v>
      </c>
      <c r="J11" s="50" t="s">
        <v>12</v>
      </c>
    </row>
    <row r="12" spans="1:13" x14ac:dyDescent="0.2">
      <c r="A12" s="51"/>
      <c r="B12" s="53"/>
      <c r="C12">
        <v>64</v>
      </c>
      <c r="D12" s="5">
        <v>1000</v>
      </c>
      <c r="E12" s="5">
        <f t="shared" ref="E12:E14" si="2">C12*5*D12</f>
        <v>320000</v>
      </c>
      <c r="F12" s="56"/>
      <c r="G12" s="62"/>
      <c r="H12" s="64"/>
      <c r="I12" s="65"/>
      <c r="J12" s="50"/>
      <c r="K12" t="s">
        <v>8</v>
      </c>
      <c r="L12" s="9" t="s">
        <v>18</v>
      </c>
      <c r="M12" s="9"/>
    </row>
    <row r="13" spans="1:13" x14ac:dyDescent="0.2">
      <c r="A13" s="51"/>
      <c r="B13" s="53"/>
      <c r="C13">
        <v>62</v>
      </c>
      <c r="D13" s="5">
        <v>1000</v>
      </c>
      <c r="E13" s="5">
        <f t="shared" si="2"/>
        <v>310000</v>
      </c>
      <c r="F13" s="56"/>
      <c r="G13" s="62"/>
      <c r="H13" s="64"/>
      <c r="I13" s="65"/>
      <c r="J13" s="50"/>
      <c r="L13" s="9" t="s">
        <v>19</v>
      </c>
      <c r="M13" s="9"/>
    </row>
    <row r="14" spans="1:13" x14ac:dyDescent="0.2">
      <c r="A14" s="51"/>
      <c r="B14" s="53"/>
      <c r="C14">
        <v>77</v>
      </c>
      <c r="D14" s="5">
        <v>1000</v>
      </c>
      <c r="E14" s="7">
        <f t="shared" si="2"/>
        <v>385000</v>
      </c>
      <c r="F14" s="56"/>
      <c r="G14" s="62"/>
      <c r="H14" s="64"/>
      <c r="I14" s="65"/>
      <c r="J14" s="50"/>
    </row>
    <row r="15" spans="1:13" x14ac:dyDescent="0.2">
      <c r="A15" s="51" t="s">
        <v>17</v>
      </c>
      <c r="B15" s="52" t="s">
        <v>9</v>
      </c>
      <c r="C15" s="3">
        <v>35</v>
      </c>
      <c r="D15" s="4">
        <v>1000</v>
      </c>
      <c r="E15" s="4">
        <f>C15*5*D15</f>
        <v>175000</v>
      </c>
      <c r="F15" s="55">
        <f>AVERAGE(E15:E18)</f>
        <v>196250</v>
      </c>
      <c r="G15" s="58">
        <f>LOG10(F15)</f>
        <v>5.2928096654172903</v>
      </c>
      <c r="H15" s="64"/>
      <c r="I15" s="65"/>
      <c r="J15" s="50" t="s">
        <v>13</v>
      </c>
    </row>
    <row r="16" spans="1:13" x14ac:dyDescent="0.2">
      <c r="A16" s="51"/>
      <c r="B16" s="53"/>
      <c r="C16">
        <v>47</v>
      </c>
      <c r="D16" s="5">
        <v>1000</v>
      </c>
      <c r="E16" s="5">
        <f t="shared" ref="E16:E17" si="3">C16*5*D16</f>
        <v>235000</v>
      </c>
      <c r="F16" s="56"/>
      <c r="G16" s="59"/>
      <c r="H16" s="64"/>
      <c r="I16" s="65"/>
      <c r="J16" s="50"/>
    </row>
    <row r="17" spans="1:13" x14ac:dyDescent="0.2">
      <c r="A17" s="51"/>
      <c r="B17" s="53"/>
      <c r="C17">
        <v>27</v>
      </c>
      <c r="D17" s="5">
        <v>1000</v>
      </c>
      <c r="E17" s="5">
        <f t="shared" si="3"/>
        <v>135000</v>
      </c>
      <c r="F17" s="56"/>
      <c r="G17" s="59"/>
      <c r="H17" s="64"/>
      <c r="I17" s="65"/>
      <c r="J17" s="50"/>
    </row>
    <row r="18" spans="1:13" x14ac:dyDescent="0.2">
      <c r="A18" s="51"/>
      <c r="B18" s="54"/>
      <c r="C18" s="6">
        <v>48</v>
      </c>
      <c r="D18" s="7">
        <v>1000</v>
      </c>
      <c r="E18" s="7">
        <f>C18*5*D18</f>
        <v>240000</v>
      </c>
      <c r="F18" s="57"/>
      <c r="G18" s="60"/>
      <c r="H18" s="64"/>
      <c r="I18" s="65"/>
      <c r="J18" s="50"/>
    </row>
    <row r="20" spans="1:13" x14ac:dyDescent="0.2">
      <c r="A20" s="51" t="s">
        <v>10</v>
      </c>
      <c r="B20" s="52" t="s">
        <v>22</v>
      </c>
      <c r="C20" s="3">
        <v>8</v>
      </c>
      <c r="D20" s="4">
        <v>10000</v>
      </c>
      <c r="E20" s="4">
        <f>C20*5*D20</f>
        <v>400000</v>
      </c>
      <c r="F20" s="55">
        <f>AVERAGE(E20:E23)</f>
        <v>700000</v>
      </c>
      <c r="G20" s="61">
        <f>LOG10(F20)</f>
        <v>5.8450980400142569</v>
      </c>
      <c r="H20" s="66">
        <f>F24/(F20-F24)</f>
        <v>0.69696969696969702</v>
      </c>
      <c r="I20" s="65">
        <f>F24/F20</f>
        <v>0.4107142857142857</v>
      </c>
      <c r="J20" s="50" t="s">
        <v>26</v>
      </c>
    </row>
    <row r="21" spans="1:13" x14ac:dyDescent="0.2">
      <c r="A21" s="51"/>
      <c r="B21" s="53"/>
      <c r="C21">
        <v>18</v>
      </c>
      <c r="D21" s="5">
        <v>10000</v>
      </c>
      <c r="E21" s="5">
        <f t="shared" ref="E21:E23" si="4">C21*5*D21</f>
        <v>900000</v>
      </c>
      <c r="F21" s="56"/>
      <c r="G21" s="62"/>
      <c r="H21" s="66"/>
      <c r="I21" s="65"/>
      <c r="J21" s="50"/>
    </row>
    <row r="22" spans="1:13" x14ac:dyDescent="0.2">
      <c r="A22" s="51"/>
      <c r="B22" s="53"/>
      <c r="C22">
        <v>15</v>
      </c>
      <c r="D22" s="5">
        <v>10000</v>
      </c>
      <c r="E22" s="5">
        <f t="shared" si="4"/>
        <v>750000</v>
      </c>
      <c r="F22" s="56"/>
      <c r="G22" s="62"/>
      <c r="H22" s="66"/>
      <c r="I22" s="65"/>
      <c r="J22" s="50"/>
      <c r="K22" s="8" t="s">
        <v>8</v>
      </c>
      <c r="L22" s="8" t="s">
        <v>24</v>
      </c>
    </row>
    <row r="23" spans="1:13" x14ac:dyDescent="0.2">
      <c r="A23" s="51"/>
      <c r="B23" s="54"/>
      <c r="C23">
        <v>15</v>
      </c>
      <c r="D23" s="5">
        <v>10000</v>
      </c>
      <c r="E23" s="7">
        <f t="shared" si="4"/>
        <v>750000</v>
      </c>
      <c r="F23" s="57"/>
      <c r="G23" s="63"/>
      <c r="H23" s="66"/>
      <c r="I23" s="65"/>
      <c r="J23" s="50"/>
      <c r="K23" s="8"/>
      <c r="L23" s="8" t="s">
        <v>25</v>
      </c>
    </row>
    <row r="24" spans="1:13" x14ac:dyDescent="0.2">
      <c r="A24" s="51" t="s">
        <v>20</v>
      </c>
      <c r="B24" s="52" t="s">
        <v>23</v>
      </c>
      <c r="C24" s="3">
        <v>8</v>
      </c>
      <c r="D24" s="4">
        <v>10000</v>
      </c>
      <c r="E24" s="4">
        <f>C24*5*D24</f>
        <v>400000</v>
      </c>
      <c r="F24" s="55">
        <f>AVERAGE(E24:E27)</f>
        <v>287500</v>
      </c>
      <c r="G24" s="58">
        <f>LOG10(F24)</f>
        <v>5.4586378490256493</v>
      </c>
      <c r="H24" s="66"/>
      <c r="I24" s="65"/>
      <c r="J24" s="50" t="s">
        <v>27</v>
      </c>
    </row>
    <row r="25" spans="1:13" x14ac:dyDescent="0.2">
      <c r="A25" s="51"/>
      <c r="B25" s="53"/>
      <c r="C25">
        <v>8</v>
      </c>
      <c r="D25" s="5">
        <v>10000</v>
      </c>
      <c r="E25" s="5">
        <f t="shared" ref="E25:E26" si="5">C25*5*D25</f>
        <v>400000</v>
      </c>
      <c r="F25" s="56"/>
      <c r="G25" s="59"/>
      <c r="H25" s="66"/>
      <c r="I25" s="65"/>
      <c r="J25" s="50"/>
    </row>
    <row r="26" spans="1:13" x14ac:dyDescent="0.2">
      <c r="A26" s="51"/>
      <c r="B26" s="53"/>
      <c r="C26">
        <v>4</v>
      </c>
      <c r="D26" s="5">
        <v>10000</v>
      </c>
      <c r="E26" s="5">
        <f t="shared" si="5"/>
        <v>200000</v>
      </c>
      <c r="F26" s="56"/>
      <c r="G26" s="59"/>
      <c r="H26" s="66"/>
      <c r="I26" s="65"/>
      <c r="J26" s="50"/>
    </row>
    <row r="27" spans="1:13" x14ac:dyDescent="0.2">
      <c r="A27" s="51"/>
      <c r="B27" s="54"/>
      <c r="C27" s="6">
        <v>3</v>
      </c>
      <c r="D27" s="7">
        <v>10000</v>
      </c>
      <c r="E27" s="7">
        <f>C27*5*D27</f>
        <v>150000</v>
      </c>
      <c r="F27" s="57"/>
      <c r="G27" s="60"/>
      <c r="H27" s="66"/>
      <c r="I27" s="65"/>
      <c r="J27" s="50"/>
    </row>
    <row r="28" spans="1:13" ht="16" customHeight="1" x14ac:dyDescent="0.2">
      <c r="A28" s="51" t="s">
        <v>16</v>
      </c>
      <c r="B28" s="52" t="s">
        <v>22</v>
      </c>
      <c r="C28" s="3">
        <v>112</v>
      </c>
      <c r="D28" s="4">
        <v>1000</v>
      </c>
      <c r="E28" s="4">
        <f>C28*5*D28</f>
        <v>560000</v>
      </c>
      <c r="F28" s="55">
        <f>AVERAGE(E28:E31)</f>
        <v>581250</v>
      </c>
      <c r="G28" s="61">
        <f>LOG10(F28)</f>
        <v>5.7643629658980107</v>
      </c>
      <c r="H28" s="64">
        <f>F32/(F28-F32)</f>
        <v>1.4093264248704662</v>
      </c>
      <c r="I28" s="65">
        <f>F32/F28</f>
        <v>0.5849462365591398</v>
      </c>
      <c r="J28" s="50" t="s">
        <v>26</v>
      </c>
    </row>
    <row r="29" spans="1:13" x14ac:dyDescent="0.2">
      <c r="A29" s="51"/>
      <c r="B29" s="53"/>
      <c r="C29">
        <v>126</v>
      </c>
      <c r="D29" s="5">
        <v>1000</v>
      </c>
      <c r="E29" s="5">
        <f t="shared" ref="E29:E31" si="6">C29*5*D29</f>
        <v>630000</v>
      </c>
      <c r="F29" s="56"/>
      <c r="G29" s="62"/>
      <c r="H29" s="64"/>
      <c r="I29" s="65"/>
      <c r="J29" s="50"/>
      <c r="K29" t="s">
        <v>8</v>
      </c>
      <c r="L29" s="9" t="s">
        <v>28</v>
      </c>
      <c r="M29" s="9"/>
    </row>
    <row r="30" spans="1:13" x14ac:dyDescent="0.2">
      <c r="A30" s="51"/>
      <c r="B30" s="53"/>
      <c r="C30">
        <v>112</v>
      </c>
      <c r="D30" s="5">
        <v>1000</v>
      </c>
      <c r="E30" s="5">
        <f t="shared" si="6"/>
        <v>560000</v>
      </c>
      <c r="F30" s="56"/>
      <c r="G30" s="62"/>
      <c r="H30" s="64"/>
      <c r="I30" s="65"/>
      <c r="J30" s="50"/>
      <c r="L30" s="9" t="s">
        <v>29</v>
      </c>
      <c r="M30" s="9"/>
    </row>
    <row r="31" spans="1:13" x14ac:dyDescent="0.2">
      <c r="A31" s="51"/>
      <c r="B31" s="54"/>
      <c r="C31">
        <v>115</v>
      </c>
      <c r="D31" s="5">
        <v>1000</v>
      </c>
      <c r="E31" s="7">
        <f t="shared" si="6"/>
        <v>575000</v>
      </c>
      <c r="F31" s="57"/>
      <c r="G31" s="63"/>
      <c r="H31" s="64"/>
      <c r="I31" s="65"/>
      <c r="J31" s="50"/>
    </row>
    <row r="32" spans="1:13" ht="16" customHeight="1" x14ac:dyDescent="0.2">
      <c r="A32" s="51" t="s">
        <v>21</v>
      </c>
      <c r="B32" s="52" t="s">
        <v>23</v>
      </c>
      <c r="C32" s="3">
        <v>57</v>
      </c>
      <c r="D32" s="4">
        <v>1000</v>
      </c>
      <c r="E32" s="4">
        <f>C32*5*D32</f>
        <v>285000</v>
      </c>
      <c r="F32" s="55">
        <f>AVERAGE(E32:E35)</f>
        <v>340000</v>
      </c>
      <c r="G32" s="58">
        <f>LOG10(F32)</f>
        <v>5.5314789170422554</v>
      </c>
      <c r="H32" s="64"/>
      <c r="I32" s="65"/>
      <c r="J32" s="50" t="s">
        <v>27</v>
      </c>
    </row>
    <row r="33" spans="1:15" x14ac:dyDescent="0.2">
      <c r="A33" s="51"/>
      <c r="B33" s="53"/>
      <c r="C33">
        <v>69</v>
      </c>
      <c r="D33" s="5">
        <v>1000</v>
      </c>
      <c r="E33" s="5">
        <f t="shared" ref="E33:E34" si="7">C33*5*D33</f>
        <v>345000</v>
      </c>
      <c r="F33" s="56"/>
      <c r="G33" s="59"/>
      <c r="H33" s="64"/>
      <c r="I33" s="65"/>
      <c r="J33" s="50"/>
    </row>
    <row r="34" spans="1:15" x14ac:dyDescent="0.2">
      <c r="A34" s="51"/>
      <c r="B34" s="53"/>
      <c r="C34">
        <v>82</v>
      </c>
      <c r="D34" s="5">
        <v>1000</v>
      </c>
      <c r="E34" s="5">
        <f t="shared" si="7"/>
        <v>410000</v>
      </c>
      <c r="F34" s="56"/>
      <c r="G34" s="59"/>
      <c r="H34" s="64"/>
      <c r="I34" s="65"/>
      <c r="J34" s="50"/>
      <c r="N34" s="21">
        <f>F28-F32</f>
        <v>241250</v>
      </c>
      <c r="O34" s="18">
        <f>F32/N34</f>
        <v>1.4093264248704662</v>
      </c>
    </row>
    <row r="35" spans="1:15" x14ac:dyDescent="0.2">
      <c r="A35" s="51"/>
      <c r="B35" s="54"/>
      <c r="C35" s="6">
        <v>64</v>
      </c>
      <c r="D35" s="7">
        <v>1000</v>
      </c>
      <c r="E35" s="7">
        <f>C35*5*D35</f>
        <v>320000</v>
      </c>
      <c r="F35" s="57"/>
      <c r="G35" s="60"/>
      <c r="H35" s="64"/>
      <c r="I35" s="65"/>
      <c r="J35" s="50"/>
    </row>
    <row r="37" spans="1:15" x14ac:dyDescent="0.2">
      <c r="A37" s="51" t="s">
        <v>30</v>
      </c>
      <c r="B37" s="52" t="s">
        <v>34</v>
      </c>
      <c r="C37" s="3">
        <f>3+3</f>
        <v>6</v>
      </c>
      <c r="D37" s="4">
        <v>10000</v>
      </c>
      <c r="E37" s="4">
        <f>C37*5*D37</f>
        <v>300000</v>
      </c>
      <c r="F37" s="55">
        <f>AVERAGE(E37:E41)</f>
        <v>480000</v>
      </c>
      <c r="G37" s="61">
        <f>LOG10(F37)</f>
        <v>5.6812412373755876</v>
      </c>
      <c r="H37" s="66">
        <f>F42/(F37-F42)</f>
        <v>1.0869565217391304</v>
      </c>
      <c r="I37" s="65">
        <f>F42/F37</f>
        <v>0.52083333333333337</v>
      </c>
      <c r="J37" s="50" t="s">
        <v>26</v>
      </c>
    </row>
    <row r="38" spans="1:15" x14ac:dyDescent="0.2">
      <c r="A38" s="51"/>
      <c r="B38" s="53"/>
      <c r="C38">
        <f>4+5</f>
        <v>9</v>
      </c>
      <c r="D38" s="5">
        <v>10000</v>
      </c>
      <c r="E38" s="5">
        <f>C38*5*D38</f>
        <v>450000</v>
      </c>
      <c r="F38" s="56"/>
      <c r="G38" s="62"/>
      <c r="H38" s="66"/>
      <c r="I38" s="65"/>
      <c r="J38" s="50"/>
    </row>
    <row r="39" spans="1:15" x14ac:dyDescent="0.2">
      <c r="A39" s="51"/>
      <c r="B39" s="53"/>
      <c r="C39">
        <f>4+5</f>
        <v>9</v>
      </c>
      <c r="D39" s="5">
        <v>10000</v>
      </c>
      <c r="E39" s="5">
        <f t="shared" ref="E39:E41" si="8">C39*5*D39</f>
        <v>450000</v>
      </c>
      <c r="F39" s="56"/>
      <c r="G39" s="62"/>
      <c r="H39" s="66"/>
      <c r="I39" s="65"/>
      <c r="J39" s="50"/>
    </row>
    <row r="40" spans="1:15" x14ac:dyDescent="0.2">
      <c r="A40" s="51"/>
      <c r="B40" s="53"/>
      <c r="C40">
        <f>4+6</f>
        <v>10</v>
      </c>
      <c r="D40" s="5">
        <v>10000</v>
      </c>
      <c r="E40" s="5">
        <f t="shared" si="8"/>
        <v>500000</v>
      </c>
      <c r="F40" s="56"/>
      <c r="G40" s="62"/>
      <c r="H40" s="66"/>
      <c r="I40" s="65"/>
      <c r="J40" s="50"/>
      <c r="K40" s="8" t="s">
        <v>8</v>
      </c>
      <c r="L40" s="8" t="s">
        <v>38</v>
      </c>
    </row>
    <row r="41" spans="1:15" x14ac:dyDescent="0.2">
      <c r="A41" s="51"/>
      <c r="B41" s="54"/>
      <c r="C41">
        <f>9+5</f>
        <v>14</v>
      </c>
      <c r="D41" s="5">
        <v>10000</v>
      </c>
      <c r="E41" s="7">
        <f t="shared" si="8"/>
        <v>700000</v>
      </c>
      <c r="F41" s="57"/>
      <c r="G41" s="63"/>
      <c r="H41" s="66"/>
      <c r="I41" s="65"/>
      <c r="J41" s="50"/>
      <c r="K41" s="8"/>
      <c r="L41" s="8" t="s">
        <v>39</v>
      </c>
    </row>
    <row r="42" spans="1:15" ht="16" customHeight="1" x14ac:dyDescent="0.2">
      <c r="A42" s="51" t="s">
        <v>31</v>
      </c>
      <c r="B42" s="52" t="s">
        <v>35</v>
      </c>
      <c r="C42" s="3">
        <v>3</v>
      </c>
      <c r="D42" s="4">
        <v>10000</v>
      </c>
      <c r="E42" s="4">
        <f>C42*5*D42</f>
        <v>150000</v>
      </c>
      <c r="F42" s="55">
        <f>AVERAGE(E42:E46)</f>
        <v>250000</v>
      </c>
      <c r="G42" s="58">
        <f>LOG10(F42)</f>
        <v>5.3979400086720375</v>
      </c>
      <c r="H42" s="66"/>
      <c r="I42" s="65"/>
      <c r="J42" s="50" t="s">
        <v>36</v>
      </c>
    </row>
    <row r="43" spans="1:15" ht="16" customHeight="1" x14ac:dyDescent="0.2">
      <c r="A43" s="51"/>
      <c r="B43" s="53"/>
      <c r="C43">
        <v>5</v>
      </c>
      <c r="D43" s="5">
        <v>10000</v>
      </c>
      <c r="E43" s="5">
        <f>C43*5*D43</f>
        <v>250000</v>
      </c>
      <c r="F43" s="56"/>
      <c r="G43" s="59"/>
      <c r="H43" s="66"/>
      <c r="I43" s="65"/>
      <c r="J43" s="50"/>
    </row>
    <row r="44" spans="1:15" x14ac:dyDescent="0.2">
      <c r="A44" s="51"/>
      <c r="B44" s="53"/>
      <c r="C44">
        <v>4</v>
      </c>
      <c r="D44" s="5">
        <v>10000</v>
      </c>
      <c r="E44" s="5">
        <f t="shared" ref="E44:E45" si="9">C44*5*D44</f>
        <v>200000</v>
      </c>
      <c r="F44" s="56"/>
      <c r="G44" s="59"/>
      <c r="H44" s="66"/>
      <c r="I44" s="65"/>
      <c r="J44" s="50"/>
    </row>
    <row r="45" spans="1:15" x14ac:dyDescent="0.2">
      <c r="A45" s="51"/>
      <c r="B45" s="53"/>
      <c r="C45">
        <v>4</v>
      </c>
      <c r="D45" s="5">
        <v>10000</v>
      </c>
      <c r="E45" s="5">
        <f t="shared" si="9"/>
        <v>200000</v>
      </c>
      <c r="F45" s="56"/>
      <c r="G45" s="59"/>
      <c r="H45" s="66"/>
      <c r="I45" s="65"/>
      <c r="J45" s="50"/>
    </row>
    <row r="46" spans="1:15" x14ac:dyDescent="0.2">
      <c r="A46" s="51"/>
      <c r="B46" s="54"/>
      <c r="C46" s="6">
        <v>9</v>
      </c>
      <c r="D46" s="7">
        <v>10000</v>
      </c>
      <c r="E46" s="7">
        <f>C46*5*D46</f>
        <v>450000</v>
      </c>
      <c r="F46" s="57"/>
      <c r="G46" s="60"/>
      <c r="H46" s="66"/>
      <c r="I46" s="65"/>
      <c r="J46" s="50"/>
    </row>
    <row r="47" spans="1:15" ht="16" customHeight="1" x14ac:dyDescent="0.2">
      <c r="A47" s="51" t="s">
        <v>32</v>
      </c>
      <c r="B47" s="52" t="s">
        <v>34</v>
      </c>
      <c r="C47" s="3">
        <f>45+34</f>
        <v>79</v>
      </c>
      <c r="D47" s="4">
        <v>1000</v>
      </c>
      <c r="E47" s="4">
        <f>C47*5*D47</f>
        <v>395000</v>
      </c>
      <c r="F47" s="55">
        <f>AVERAGE(E47:E51)</f>
        <v>433000</v>
      </c>
      <c r="G47" s="61">
        <f>LOG10(F47)</f>
        <v>5.6364878963533656</v>
      </c>
      <c r="H47" s="64">
        <f>F52/(F47-F52)</f>
        <v>1.5773809523809523</v>
      </c>
      <c r="I47" s="65">
        <f>F52/F47</f>
        <v>0.61200923787528871</v>
      </c>
      <c r="J47" s="50" t="s">
        <v>26</v>
      </c>
    </row>
    <row r="48" spans="1:15" ht="16" customHeight="1" x14ac:dyDescent="0.2">
      <c r="A48" s="51"/>
      <c r="B48" s="53"/>
      <c r="C48">
        <f>57+28</f>
        <v>85</v>
      </c>
      <c r="D48" s="5">
        <v>1000</v>
      </c>
      <c r="E48" s="5">
        <f>C48*5*D48</f>
        <v>425000</v>
      </c>
      <c r="F48" s="56"/>
      <c r="G48" s="62"/>
      <c r="H48" s="64"/>
      <c r="I48" s="65"/>
      <c r="J48" s="50"/>
    </row>
    <row r="49" spans="1:14" x14ac:dyDescent="0.2">
      <c r="A49" s="51"/>
      <c r="B49" s="53"/>
      <c r="C49">
        <f>58+31</f>
        <v>89</v>
      </c>
      <c r="D49" s="5">
        <v>1000</v>
      </c>
      <c r="E49" s="5">
        <f t="shared" ref="E49:E51" si="10">C49*5*D49</f>
        <v>445000</v>
      </c>
      <c r="F49" s="56"/>
      <c r="G49" s="62"/>
      <c r="H49" s="64"/>
      <c r="I49" s="65"/>
      <c r="J49" s="50"/>
      <c r="K49" t="s">
        <v>8</v>
      </c>
      <c r="L49" s="9" t="s">
        <v>40</v>
      </c>
      <c r="M49" s="9"/>
    </row>
    <row r="50" spans="1:14" x14ac:dyDescent="0.2">
      <c r="A50" s="51"/>
      <c r="B50" s="53"/>
      <c r="C50">
        <f>58+37</f>
        <v>95</v>
      </c>
      <c r="D50" s="5">
        <v>1000</v>
      </c>
      <c r="E50" s="5">
        <f t="shared" si="10"/>
        <v>475000</v>
      </c>
      <c r="F50" s="56"/>
      <c r="G50" s="62"/>
      <c r="H50" s="64"/>
      <c r="I50" s="65"/>
      <c r="J50" s="50"/>
      <c r="L50" s="9" t="s">
        <v>41</v>
      </c>
      <c r="M50" s="9"/>
    </row>
    <row r="51" spans="1:14" x14ac:dyDescent="0.2">
      <c r="A51" s="51"/>
      <c r="B51" s="54"/>
      <c r="C51">
        <f>47+38</f>
        <v>85</v>
      </c>
      <c r="D51" s="5">
        <v>1000</v>
      </c>
      <c r="E51" s="7">
        <f t="shared" si="10"/>
        <v>425000</v>
      </c>
      <c r="F51" s="57"/>
      <c r="G51" s="63"/>
      <c r="H51" s="64"/>
      <c r="I51" s="65"/>
      <c r="J51" s="50"/>
    </row>
    <row r="52" spans="1:14" ht="16" customHeight="1" x14ac:dyDescent="0.2">
      <c r="A52" s="51" t="s">
        <v>33</v>
      </c>
      <c r="B52" s="52" t="s">
        <v>35</v>
      </c>
      <c r="C52" s="3">
        <v>45</v>
      </c>
      <c r="D52" s="4">
        <v>1000</v>
      </c>
      <c r="E52" s="4">
        <f>C52*5*D52</f>
        <v>225000</v>
      </c>
      <c r="F52" s="55">
        <f>AVERAGE(E52:E56)</f>
        <v>265000</v>
      </c>
      <c r="G52" s="58">
        <f>LOG10(F52)</f>
        <v>5.4232458739368079</v>
      </c>
      <c r="H52" s="64"/>
      <c r="I52" s="65"/>
      <c r="J52" s="50" t="s">
        <v>37</v>
      </c>
    </row>
    <row r="53" spans="1:14" ht="16" customHeight="1" x14ac:dyDescent="0.2">
      <c r="A53" s="51"/>
      <c r="B53" s="53"/>
      <c r="C53">
        <v>57</v>
      </c>
      <c r="D53" s="5">
        <v>1000</v>
      </c>
      <c r="E53" s="5">
        <f>C53*5*D53</f>
        <v>285000</v>
      </c>
      <c r="F53" s="56"/>
      <c r="G53" s="59"/>
      <c r="H53" s="64"/>
      <c r="I53" s="65"/>
      <c r="J53" s="50"/>
      <c r="L53" s="71" t="s">
        <v>98</v>
      </c>
      <c r="M53" s="71"/>
      <c r="N53" s="72">
        <f>((F47-F52)/F52)</f>
        <v>0.63396226415094337</v>
      </c>
    </row>
    <row r="54" spans="1:14" x14ac:dyDescent="0.2">
      <c r="A54" s="51"/>
      <c r="B54" s="53"/>
      <c r="C54">
        <v>58</v>
      </c>
      <c r="D54" s="5">
        <v>1000</v>
      </c>
      <c r="E54" s="5">
        <f t="shared" ref="E54:E55" si="11">C54*5*D54</f>
        <v>290000</v>
      </c>
      <c r="F54" s="56"/>
      <c r="G54" s="59"/>
      <c r="H54" s="64"/>
      <c r="I54" s="65"/>
      <c r="J54" s="50"/>
    </row>
    <row r="55" spans="1:14" x14ac:dyDescent="0.2">
      <c r="A55" s="51"/>
      <c r="B55" s="53"/>
      <c r="C55">
        <v>58</v>
      </c>
      <c r="D55" s="5">
        <v>1000</v>
      </c>
      <c r="E55" s="5">
        <f t="shared" si="11"/>
        <v>290000</v>
      </c>
      <c r="F55" s="56"/>
      <c r="G55" s="59"/>
      <c r="H55" s="64"/>
      <c r="I55" s="65"/>
      <c r="J55" s="50"/>
    </row>
    <row r="56" spans="1:14" x14ac:dyDescent="0.2">
      <c r="A56" s="51"/>
      <c r="B56" s="54"/>
      <c r="C56" s="6">
        <v>47</v>
      </c>
      <c r="D56" s="7">
        <v>1000</v>
      </c>
      <c r="E56" s="7">
        <f>C56*5*D56</f>
        <v>235000</v>
      </c>
      <c r="F56" s="57"/>
      <c r="G56" s="60"/>
      <c r="H56" s="64"/>
      <c r="I56" s="65"/>
      <c r="J56" s="50"/>
    </row>
  </sheetData>
  <mergeCells count="72">
    <mergeCell ref="J3:J6"/>
    <mergeCell ref="A7:A10"/>
    <mergeCell ref="B7:B10"/>
    <mergeCell ref="F7:F10"/>
    <mergeCell ref="G7:G10"/>
    <mergeCell ref="J7:J10"/>
    <mergeCell ref="A3:A6"/>
    <mergeCell ref="B3:B6"/>
    <mergeCell ref="F3:F6"/>
    <mergeCell ref="G3:G6"/>
    <mergeCell ref="H3:H10"/>
    <mergeCell ref="I3:I10"/>
    <mergeCell ref="J11:J14"/>
    <mergeCell ref="A15:A18"/>
    <mergeCell ref="B15:B18"/>
    <mergeCell ref="F15:F18"/>
    <mergeCell ref="G15:G18"/>
    <mergeCell ref="J15:J18"/>
    <mergeCell ref="A11:A14"/>
    <mergeCell ref="B11:B14"/>
    <mergeCell ref="F11:F14"/>
    <mergeCell ref="G11:G14"/>
    <mergeCell ref="H11:H18"/>
    <mergeCell ref="I11:I18"/>
    <mergeCell ref="J20:J23"/>
    <mergeCell ref="A24:A27"/>
    <mergeCell ref="B24:B27"/>
    <mergeCell ref="F24:F27"/>
    <mergeCell ref="G24:G27"/>
    <mergeCell ref="J24:J27"/>
    <mergeCell ref="A20:A23"/>
    <mergeCell ref="B20:B23"/>
    <mergeCell ref="F20:F23"/>
    <mergeCell ref="G20:G23"/>
    <mergeCell ref="H20:H27"/>
    <mergeCell ref="I20:I27"/>
    <mergeCell ref="J28:J31"/>
    <mergeCell ref="A32:A35"/>
    <mergeCell ref="B32:B35"/>
    <mergeCell ref="F32:F35"/>
    <mergeCell ref="G32:G35"/>
    <mergeCell ref="J32:J35"/>
    <mergeCell ref="A28:A31"/>
    <mergeCell ref="B28:B31"/>
    <mergeCell ref="F28:F31"/>
    <mergeCell ref="G28:G31"/>
    <mergeCell ref="H28:H35"/>
    <mergeCell ref="I28:I35"/>
    <mergeCell ref="J37:J41"/>
    <mergeCell ref="A42:A46"/>
    <mergeCell ref="B42:B46"/>
    <mergeCell ref="F42:F46"/>
    <mergeCell ref="G42:G46"/>
    <mergeCell ref="J42:J46"/>
    <mergeCell ref="A37:A41"/>
    <mergeCell ref="B37:B41"/>
    <mergeCell ref="F37:F41"/>
    <mergeCell ref="G37:G41"/>
    <mergeCell ref="H37:H46"/>
    <mergeCell ref="I37:I46"/>
    <mergeCell ref="J47:J51"/>
    <mergeCell ref="A52:A56"/>
    <mergeCell ref="B52:B56"/>
    <mergeCell ref="F52:F56"/>
    <mergeCell ref="G52:G56"/>
    <mergeCell ref="J52:J56"/>
    <mergeCell ref="A47:A51"/>
    <mergeCell ref="B47:B51"/>
    <mergeCell ref="F47:F51"/>
    <mergeCell ref="G47:G51"/>
    <mergeCell ref="H47:H56"/>
    <mergeCell ref="I47:I5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0123E-40C3-6945-ABAF-C7B3B7ABD811}">
  <dimension ref="A1:AG105"/>
  <sheetViews>
    <sheetView tabSelected="1" topLeftCell="A79" workbookViewId="0">
      <selection activeCell="P107" sqref="P107"/>
    </sheetView>
  </sheetViews>
  <sheetFormatPr baseColWidth="10" defaultRowHeight="16" x14ac:dyDescent="0.2"/>
  <cols>
    <col min="1" max="1" width="17.6640625" customWidth="1"/>
    <col min="15" max="15" width="11.6640625" customWidth="1"/>
    <col min="16" max="16" width="10.83203125" style="26"/>
    <col min="19" max="19" width="10.1640625" customWidth="1"/>
    <col min="22" max="22" width="10.83203125" style="45"/>
    <col min="25" max="25" width="10.83203125" style="43"/>
    <col min="27" max="27" width="10.83203125" style="45"/>
  </cols>
  <sheetData>
    <row r="1" spans="1:33" ht="59" customHeight="1" x14ac:dyDescent="0.2">
      <c r="A1" s="10" t="s">
        <v>52</v>
      </c>
      <c r="B1" s="67" t="s">
        <v>53</v>
      </c>
      <c r="C1" s="67"/>
      <c r="D1" s="11" t="s">
        <v>42</v>
      </c>
      <c r="E1" s="11" t="s">
        <v>43</v>
      </c>
      <c r="F1" s="11" t="s">
        <v>44</v>
      </c>
      <c r="G1" s="12" t="s">
        <v>45</v>
      </c>
      <c r="H1" s="67" t="s">
        <v>54</v>
      </c>
      <c r="I1" s="67"/>
      <c r="J1" s="11" t="s">
        <v>42</v>
      </c>
      <c r="K1" s="11" t="s">
        <v>43</v>
      </c>
      <c r="L1" s="12" t="s">
        <v>95</v>
      </c>
      <c r="M1" s="13" t="s">
        <v>46</v>
      </c>
      <c r="N1" s="20" t="s">
        <v>73</v>
      </c>
      <c r="O1" s="20" t="s">
        <v>74</v>
      </c>
      <c r="P1" s="12" t="s">
        <v>72</v>
      </c>
      <c r="R1" s="68" t="s">
        <v>86</v>
      </c>
      <c r="S1" s="69"/>
      <c r="T1" s="27" t="s">
        <v>42</v>
      </c>
      <c r="U1" s="28" t="s">
        <v>43</v>
      </c>
      <c r="V1" s="12" t="s">
        <v>45</v>
      </c>
      <c r="W1" s="68" t="s">
        <v>87</v>
      </c>
      <c r="X1" s="69"/>
      <c r="Y1" s="39" t="s">
        <v>42</v>
      </c>
      <c r="Z1" s="28" t="s">
        <v>43</v>
      </c>
      <c r="AA1" s="12" t="s">
        <v>92</v>
      </c>
      <c r="AC1" s="67" t="s">
        <v>88</v>
      </c>
      <c r="AD1" s="67"/>
      <c r="AE1" s="11" t="s">
        <v>42</v>
      </c>
      <c r="AF1" s="11" t="s">
        <v>43</v>
      </c>
      <c r="AG1" s="12" t="s">
        <v>92</v>
      </c>
    </row>
    <row r="2" spans="1:33" x14ac:dyDescent="0.2">
      <c r="A2" s="14" t="s">
        <v>47</v>
      </c>
      <c r="B2">
        <v>113</v>
      </c>
      <c r="C2">
        <v>83</v>
      </c>
      <c r="D2">
        <f>AVERAGE(B2:C2)</f>
        <v>98</v>
      </c>
      <c r="E2" s="14">
        <v>1000</v>
      </c>
      <c r="F2" s="14">
        <f>1780.1-1713.7</f>
        <v>66.399999999999864</v>
      </c>
      <c r="G2" s="15">
        <f>LOG10(D2*100*E2/F2*1000)</f>
        <v>8.1690579963244776</v>
      </c>
      <c r="H2" s="16">
        <v>75</v>
      </c>
      <c r="I2" s="16">
        <v>65</v>
      </c>
      <c r="J2" s="16">
        <f>AVERAGE(H2:I2)</f>
        <v>70</v>
      </c>
      <c r="K2" s="16">
        <v>1000</v>
      </c>
      <c r="L2" s="15">
        <f>LOG10(K2*100*J2/F2*1000)</f>
        <v>8.0229299606462394</v>
      </c>
      <c r="M2" s="17">
        <f>(J2*K2)/(D2*E2)</f>
        <v>0.7142857142857143</v>
      </c>
      <c r="N2" s="18">
        <f>J2*K2/(D2*E2-(J2*K2))</f>
        <v>2.5</v>
      </c>
      <c r="O2" s="18">
        <f>dose!$H$11</f>
        <v>1.4144144144144144</v>
      </c>
      <c r="P2" s="23">
        <f>N2/O2</f>
        <v>1.7675159235668789</v>
      </c>
      <c r="R2" s="29">
        <v>72</v>
      </c>
      <c r="S2">
        <v>61</v>
      </c>
      <c r="T2">
        <f>AVERAGE(R2:S2)</f>
        <v>66.5</v>
      </c>
      <c r="U2" s="30">
        <v>1000</v>
      </c>
      <c r="V2" s="47">
        <f>LOG10(U2*100*T2/F2*1000)</f>
        <v>8.0006535659350888</v>
      </c>
      <c r="W2" s="33">
        <v>51</v>
      </c>
      <c r="X2" s="16">
        <v>47</v>
      </c>
      <c r="Y2" s="40">
        <f>AVERAGE(W2:X2)</f>
        <v>49</v>
      </c>
      <c r="Z2" s="34">
        <v>1000</v>
      </c>
      <c r="AA2" s="47">
        <f>LOG10(Y2*Z2*100/F2*1000)</f>
        <v>7.8680280006604972</v>
      </c>
      <c r="AC2" s="16"/>
      <c r="AD2" s="16"/>
      <c r="AE2" s="16"/>
      <c r="AF2" s="16"/>
      <c r="AG2" s="45"/>
    </row>
    <row r="3" spans="1:33" x14ac:dyDescent="0.2">
      <c r="A3" s="14" t="s">
        <v>48</v>
      </c>
      <c r="B3">
        <v>26</v>
      </c>
      <c r="C3">
        <v>27</v>
      </c>
      <c r="D3">
        <f>AVERAGE(B3:C3)</f>
        <v>26.5</v>
      </c>
      <c r="E3" s="14">
        <v>10000</v>
      </c>
      <c r="F3" s="14">
        <f>1694.5-1628.4</f>
        <v>66.099999999999909</v>
      </c>
      <c r="G3" s="15">
        <f>LOG10(D3*100*E3/F3*1000)</f>
        <v>8.6030444144511691</v>
      </c>
      <c r="H3" s="16">
        <v>24</v>
      </c>
      <c r="I3" s="16">
        <v>16</v>
      </c>
      <c r="J3" s="16">
        <f>AVERAGE(H3:I3)</f>
        <v>20</v>
      </c>
      <c r="K3" s="16">
        <v>10000</v>
      </c>
      <c r="L3" s="15">
        <f t="shared" ref="L3:L6" si="0">LOG10(K3*100*J3/F3*1000)</f>
        <v>8.4808285361783415</v>
      </c>
      <c r="M3" s="17">
        <f>(J3*K3)/(D3*E3)</f>
        <v>0.75471698113207553</v>
      </c>
      <c r="N3" s="18">
        <f>J3*K3/(D3*E3-(J3*K3))</f>
        <v>3.0769230769230771</v>
      </c>
      <c r="O3" s="18">
        <f>dose!$H$11</f>
        <v>1.4144144144144144</v>
      </c>
      <c r="P3" s="23">
        <f t="shared" ref="P3:P6" si="1">N3/O3</f>
        <v>2.1754042136207743</v>
      </c>
      <c r="R3" s="29">
        <v>144</v>
      </c>
      <c r="S3">
        <v>148</v>
      </c>
      <c r="T3">
        <f>AVERAGE(R3:S3)</f>
        <v>146</v>
      </c>
      <c r="U3" s="30">
        <v>1000</v>
      </c>
      <c r="V3" s="47">
        <f>LOG10(U3*100*T3/F3*1000)</f>
        <v>8.3441513962987983</v>
      </c>
      <c r="W3" s="33">
        <v>100</v>
      </c>
      <c r="X3" s="16">
        <v>95</v>
      </c>
      <c r="Y3" s="40">
        <f>AVERAGE(W3:X3)</f>
        <v>97.5</v>
      </c>
      <c r="Z3" s="34">
        <v>1000</v>
      </c>
      <c r="AA3" s="47">
        <f>LOG10(Y3*Z3*100/F3*1000)</f>
        <v>8.1688031562128973</v>
      </c>
      <c r="AC3" s="16"/>
      <c r="AD3" s="16"/>
      <c r="AE3" s="16"/>
      <c r="AF3" s="16"/>
      <c r="AG3" s="45"/>
    </row>
    <row r="4" spans="1:33" x14ac:dyDescent="0.2">
      <c r="A4" s="14" t="s">
        <v>51</v>
      </c>
      <c r="B4">
        <v>19</v>
      </c>
      <c r="C4">
        <v>16</v>
      </c>
      <c r="D4">
        <f>AVERAGE(B4:C4)</f>
        <v>17.5</v>
      </c>
      <c r="E4" s="14">
        <v>10000</v>
      </c>
      <c r="F4" s="14">
        <f>1850.9-1763.2</f>
        <v>87.700000000000045</v>
      </c>
      <c r="G4" s="15">
        <f t="shared" ref="G4:G6" si="2">LOG10(D4*100*E4/F4*1000)</f>
        <v>8.3000384553202533</v>
      </c>
      <c r="H4" s="16">
        <v>13</v>
      </c>
      <c r="I4" s="16">
        <v>16</v>
      </c>
      <c r="J4" s="16">
        <f>AVERAGE(H4:I4)</f>
        <v>14.5</v>
      </c>
      <c r="K4" s="16">
        <v>10000</v>
      </c>
      <c r="L4" s="15">
        <f t="shared" si="0"/>
        <v>8.2183684088689333</v>
      </c>
      <c r="M4" s="17">
        <f>(J4*K4)/(D4*E4)</f>
        <v>0.82857142857142863</v>
      </c>
      <c r="N4" s="18">
        <f>J4*K4/(D4*E4-(J4*K4))</f>
        <v>4.833333333333333</v>
      </c>
      <c r="O4" s="18">
        <f>dose!$H$11</f>
        <v>1.4144144144144144</v>
      </c>
      <c r="P4" s="23">
        <f t="shared" si="1"/>
        <v>3.4171974522292992</v>
      </c>
      <c r="R4" s="29">
        <v>7</v>
      </c>
      <c r="S4">
        <v>6</v>
      </c>
      <c r="T4">
        <f>AVERAGE(R4:S4)</f>
        <v>6.5</v>
      </c>
      <c r="U4" s="30">
        <v>10000</v>
      </c>
      <c r="V4" s="47">
        <f>LOG10(U4*100*T4/F4*1000)</f>
        <v>7.8699137632768146</v>
      </c>
      <c r="W4" s="33">
        <v>1</v>
      </c>
      <c r="X4" s="16">
        <v>3</v>
      </c>
      <c r="Y4" s="40">
        <f>AVERAGE(W4:X4)</f>
        <v>2</v>
      </c>
      <c r="Z4" s="34">
        <v>10000</v>
      </c>
      <c r="AA4" s="47">
        <f>LOG10(Y4*Z4*100/F4*1000)</f>
        <v>7.3580304022979401</v>
      </c>
      <c r="AC4" s="16"/>
      <c r="AD4" s="16"/>
      <c r="AE4" s="16"/>
      <c r="AF4" s="16"/>
      <c r="AG4" s="45"/>
    </row>
    <row r="5" spans="1:33" x14ac:dyDescent="0.2">
      <c r="A5" s="14" t="s">
        <v>49</v>
      </c>
      <c r="B5">
        <v>40</v>
      </c>
      <c r="C5">
        <v>38</v>
      </c>
      <c r="D5">
        <f>AVERAGE(B5:C5)</f>
        <v>39</v>
      </c>
      <c r="E5" s="14">
        <v>100</v>
      </c>
      <c r="F5" s="14">
        <f>1765.9-1697.8</f>
        <v>68.100000000000136</v>
      </c>
      <c r="G5" s="15">
        <f t="shared" si="2"/>
        <v>6.7579174951137135</v>
      </c>
      <c r="H5" s="16">
        <v>21</v>
      </c>
      <c r="I5" s="16">
        <v>19</v>
      </c>
      <c r="J5" s="16">
        <f>AVERAGE(H5:I5)</f>
        <v>20</v>
      </c>
      <c r="K5" s="16">
        <v>100</v>
      </c>
      <c r="L5" s="15">
        <f t="shared" si="0"/>
        <v>6.4678828837511952</v>
      </c>
      <c r="M5" s="17">
        <f>(J5*K5)/(D5*E5)</f>
        <v>0.51282051282051277</v>
      </c>
      <c r="N5" s="18">
        <f>J5*K5/(D5*E5-(J5*K5))</f>
        <v>1.0526315789473684</v>
      </c>
      <c r="O5" s="18">
        <f>dose!$H$11</f>
        <v>1.4144144144144144</v>
      </c>
      <c r="P5" s="23">
        <f t="shared" si="1"/>
        <v>0.74421723097552794</v>
      </c>
      <c r="R5" s="29">
        <v>30</v>
      </c>
      <c r="S5">
        <v>44</v>
      </c>
      <c r="T5">
        <f>AVERAGE(R5:S5)</f>
        <v>37</v>
      </c>
      <c r="U5" s="30">
        <v>100</v>
      </c>
      <c r="V5" s="47">
        <f>LOG10(U5*100*T5/F5*1000)</f>
        <v>6.735054612154209</v>
      </c>
      <c r="W5" s="33">
        <v>17</v>
      </c>
      <c r="X5" s="16">
        <v>13</v>
      </c>
      <c r="Y5" s="40">
        <f>AVERAGE(W5:X5)</f>
        <v>15</v>
      </c>
      <c r="Z5" s="34">
        <v>100</v>
      </c>
      <c r="AA5" s="47">
        <f>LOG10(Y5*Z5*100/F5*1000)</f>
        <v>6.3429441471428953</v>
      </c>
      <c r="AC5" s="16">
        <v>20</v>
      </c>
      <c r="AD5" s="16">
        <v>21</v>
      </c>
      <c r="AE5" s="16">
        <f>AVERAGE(AC5:AD5)</f>
        <v>20.5</v>
      </c>
      <c r="AF5" s="16">
        <v>100</v>
      </c>
      <c r="AG5" s="47">
        <f>LOG10(AE5*AF5*100/F5*1000)</f>
        <v>6.4786067491429682</v>
      </c>
    </row>
    <row r="6" spans="1:33" x14ac:dyDescent="0.2">
      <c r="A6" s="14" t="s">
        <v>50</v>
      </c>
      <c r="B6">
        <v>7</v>
      </c>
      <c r="C6">
        <v>5</v>
      </c>
      <c r="D6">
        <f>AVERAGE(B6:C6)</f>
        <v>6</v>
      </c>
      <c r="E6" s="14">
        <v>1</v>
      </c>
      <c r="F6" s="14">
        <f>1908.4-1828.2</f>
        <v>80.200000000000045</v>
      </c>
      <c r="G6" s="15">
        <f t="shared" si="2"/>
        <v>3.87397688209948</v>
      </c>
      <c r="H6" s="16">
        <v>2</v>
      </c>
      <c r="I6" s="16">
        <v>2</v>
      </c>
      <c r="J6" s="16">
        <f>AVERAGE(H6:I6)</f>
        <v>2</v>
      </c>
      <c r="K6" s="16">
        <v>1</v>
      </c>
      <c r="L6" s="15">
        <f t="shared" si="0"/>
        <v>3.3968556273798174</v>
      </c>
      <c r="M6" s="17">
        <f>(J6*K6)/(D6*E6)</f>
        <v>0.33333333333333331</v>
      </c>
      <c r="N6" s="18">
        <f t="shared" ref="N6" si="3">J6*K6/(D6*E6-(J6*K6))</f>
        <v>0.5</v>
      </c>
      <c r="O6" s="18">
        <f>dose!$H$11</f>
        <v>1.4144144144144144</v>
      </c>
      <c r="P6" s="23">
        <f t="shared" si="1"/>
        <v>0.35350318471337577</v>
      </c>
      <c r="R6" s="31">
        <v>1</v>
      </c>
      <c r="S6" s="6">
        <v>2</v>
      </c>
      <c r="T6" s="6">
        <f>AVERAGE(R6:S6)</f>
        <v>1.5</v>
      </c>
      <c r="U6" s="32">
        <v>1</v>
      </c>
      <c r="V6" s="48">
        <f t="shared" ref="V6" si="4">LOG10(U6*100*T6/F6*1000)</f>
        <v>3.2719168907715175</v>
      </c>
      <c r="W6" s="35">
        <v>1</v>
      </c>
      <c r="X6" s="36">
        <v>1</v>
      </c>
      <c r="Y6" s="41">
        <f>AVERAGE(W6:X6)</f>
        <v>1</v>
      </c>
      <c r="Z6" s="37">
        <v>1</v>
      </c>
      <c r="AA6" s="47">
        <f t="shared" ref="AA6" si="5">LOG10(Y6*Z6*100/F6*1000)</f>
        <v>3.0958256317158361</v>
      </c>
      <c r="AC6">
        <v>6</v>
      </c>
      <c r="AD6">
        <v>1</v>
      </c>
      <c r="AE6" s="16">
        <f>AVERAGE(AC6:AD6)</f>
        <v>3.5</v>
      </c>
      <c r="AF6">
        <v>1</v>
      </c>
      <c r="AG6" s="47">
        <f>LOG10(AE6*AF6*100/F6*1000)</f>
        <v>3.6398936760661118</v>
      </c>
    </row>
    <row r="8" spans="1:33" ht="68" x14ac:dyDescent="0.2">
      <c r="A8" s="10" t="s">
        <v>55</v>
      </c>
      <c r="B8" s="67" t="s">
        <v>53</v>
      </c>
      <c r="C8" s="67"/>
      <c r="D8" s="11" t="s">
        <v>42</v>
      </c>
      <c r="E8" s="11" t="s">
        <v>43</v>
      </c>
      <c r="F8" s="11" t="s">
        <v>44</v>
      </c>
      <c r="G8" s="12" t="s">
        <v>45</v>
      </c>
      <c r="H8" s="67" t="s">
        <v>54</v>
      </c>
      <c r="I8" s="67"/>
      <c r="J8" s="11" t="s">
        <v>42</v>
      </c>
      <c r="K8" s="11" t="s">
        <v>43</v>
      </c>
      <c r="L8" s="12" t="s">
        <v>95</v>
      </c>
      <c r="M8" s="13" t="s">
        <v>46</v>
      </c>
      <c r="N8" s="20" t="s">
        <v>73</v>
      </c>
      <c r="O8" s="20" t="s">
        <v>74</v>
      </c>
      <c r="P8" s="12" t="s">
        <v>72</v>
      </c>
      <c r="R8" s="68" t="s">
        <v>86</v>
      </c>
      <c r="S8" s="69"/>
      <c r="T8" s="27" t="s">
        <v>42</v>
      </c>
      <c r="U8" s="28" t="s">
        <v>43</v>
      </c>
      <c r="V8" s="12" t="s">
        <v>45</v>
      </c>
      <c r="W8" s="68" t="s">
        <v>87</v>
      </c>
      <c r="X8" s="69"/>
      <c r="Y8" s="39" t="s">
        <v>42</v>
      </c>
      <c r="Z8" s="28" t="s">
        <v>43</v>
      </c>
      <c r="AA8" s="12" t="s">
        <v>92</v>
      </c>
      <c r="AC8" s="67" t="s">
        <v>88</v>
      </c>
      <c r="AD8" s="67"/>
      <c r="AE8" s="11" t="s">
        <v>42</v>
      </c>
      <c r="AF8" s="11" t="s">
        <v>43</v>
      </c>
      <c r="AG8" s="12" t="s">
        <v>92</v>
      </c>
    </row>
    <row r="9" spans="1:33" x14ac:dyDescent="0.2">
      <c r="A9" s="14" t="s">
        <v>47</v>
      </c>
      <c r="B9">
        <v>0</v>
      </c>
      <c r="C9">
        <v>2</v>
      </c>
      <c r="D9">
        <f>AVERAGE(B9:C9)</f>
        <v>1</v>
      </c>
      <c r="E9" s="14">
        <v>1</v>
      </c>
      <c r="F9" s="14">
        <f>1715.7-1697.3</f>
        <v>18.400000000000091</v>
      </c>
      <c r="G9" s="15">
        <f>LOG10(D9*100*E9/F9*1000)</f>
        <v>3.7351821769904614</v>
      </c>
      <c r="H9" s="16">
        <v>0</v>
      </c>
      <c r="I9" s="16">
        <v>0</v>
      </c>
      <c r="J9" s="16">
        <f>AVERAGE(H9:I9)</f>
        <v>0</v>
      </c>
      <c r="K9" s="16">
        <v>1</v>
      </c>
      <c r="L9" s="15" t="e">
        <f>LOG10(K9*100*J9/F9*1000)</f>
        <v>#NUM!</v>
      </c>
      <c r="M9" s="17">
        <f>(J9*K9)/(D9*E9)</f>
        <v>0</v>
      </c>
      <c r="N9" s="18">
        <f>J9*K9/(D9*E9-(J9*K9))</f>
        <v>0</v>
      </c>
      <c r="O9" s="18">
        <f>dose!$H$11</f>
        <v>1.4144144144144144</v>
      </c>
      <c r="P9" s="23" t="s">
        <v>56</v>
      </c>
      <c r="R9" s="29">
        <v>1</v>
      </c>
      <c r="S9">
        <v>1</v>
      </c>
      <c r="T9">
        <f>AVERAGE(R9:S9)</f>
        <v>1</v>
      </c>
      <c r="U9" s="30">
        <v>1</v>
      </c>
      <c r="V9" s="47">
        <f>LOG10(U9*100*T9/F9*1000)</f>
        <v>3.7351821769904614</v>
      </c>
      <c r="W9" s="33">
        <v>0</v>
      </c>
      <c r="X9" s="16">
        <v>0</v>
      </c>
      <c r="Y9" s="40">
        <f>AVERAGE(W9:X9)</f>
        <v>0</v>
      </c>
      <c r="Z9" s="34">
        <v>1</v>
      </c>
      <c r="AA9" s="47" t="e">
        <f>LOG10(Y9*Z9*100/F9*1000)</f>
        <v>#NUM!</v>
      </c>
      <c r="AC9" s="16"/>
      <c r="AD9" s="16"/>
      <c r="AE9" s="16"/>
      <c r="AF9" s="16"/>
      <c r="AG9" s="45"/>
    </row>
    <row r="10" spans="1:33" x14ac:dyDescent="0.2">
      <c r="A10" s="14" t="s">
        <v>48</v>
      </c>
      <c r="B10">
        <v>38</v>
      </c>
      <c r="C10">
        <v>38</v>
      </c>
      <c r="D10">
        <f>AVERAGE(B10:C10)</f>
        <v>38</v>
      </c>
      <c r="E10" s="14">
        <v>10</v>
      </c>
      <c r="F10" s="14">
        <f>1728.4-1701.2</f>
        <v>27.200000000000045</v>
      </c>
      <c r="G10" s="15">
        <f>LOG10(D10*100*E10/F10*1000)</f>
        <v>6.145214692582611</v>
      </c>
      <c r="H10" s="16">
        <v>41</v>
      </c>
      <c r="I10" s="16">
        <v>38</v>
      </c>
      <c r="J10" s="16">
        <f>AVERAGE(H10:I10)</f>
        <v>39.5</v>
      </c>
      <c r="K10" s="16">
        <v>10</v>
      </c>
      <c r="L10" s="15">
        <f t="shared" ref="L10:L13" si="6">LOG10(K10*100*J10/F10*1000)</f>
        <v>6.1620281915922606</v>
      </c>
      <c r="M10" s="17">
        <f>(J10*K10)/(D10*E10)</f>
        <v>1.0394736842105263</v>
      </c>
      <c r="N10" s="22">
        <f>J10*K10/(D10*E10-(J10*K10))</f>
        <v>-26.333333333333332</v>
      </c>
      <c r="O10" s="18">
        <f>dose!$H$11</f>
        <v>1.4144144144144144</v>
      </c>
      <c r="P10" s="24">
        <f t="shared" ref="P10:P13" si="7">N10/O10</f>
        <v>-18.61783439490446</v>
      </c>
      <c r="R10" s="29">
        <v>49</v>
      </c>
      <c r="S10">
        <v>43</v>
      </c>
      <c r="T10">
        <f>AVERAGE(R10:S10)</f>
        <v>46</v>
      </c>
      <c r="U10" s="30">
        <v>10</v>
      </c>
      <c r="V10" s="47">
        <f t="shared" ref="V10:V13" si="8">LOG10(U10*100*T10/F10*1000)</f>
        <v>6.2281889276473743</v>
      </c>
      <c r="W10" s="33">
        <v>34</v>
      </c>
      <c r="X10" s="16">
        <v>43</v>
      </c>
      <c r="Y10" s="40">
        <f>AVERAGE(W10:X10)</f>
        <v>38.5</v>
      </c>
      <c r="Z10" s="34">
        <v>10</v>
      </c>
      <c r="AA10" s="47">
        <f t="shared" ref="AA10:AA13" si="9">LOG10(Y10*Z10*100/F10*1000)</f>
        <v>6.150891825474301</v>
      </c>
      <c r="AC10" s="16"/>
      <c r="AD10" s="16"/>
      <c r="AE10" s="16"/>
      <c r="AF10" s="16"/>
      <c r="AG10" s="45"/>
    </row>
    <row r="11" spans="1:33" x14ac:dyDescent="0.2">
      <c r="A11" s="14" t="s">
        <v>51</v>
      </c>
      <c r="B11">
        <v>60</v>
      </c>
      <c r="C11">
        <v>59</v>
      </c>
      <c r="D11">
        <f>AVERAGE(B11:C11)</f>
        <v>59.5</v>
      </c>
      <c r="E11" s="14">
        <v>100</v>
      </c>
      <c r="F11" s="14">
        <f>1818.3-1776.2</f>
        <v>42.099999999999909</v>
      </c>
      <c r="G11" s="15">
        <f t="shared" ref="G11:G13" si="10">LOG10(D11*100*E11/F11*1000)</f>
        <v>7.1502348698928824</v>
      </c>
      <c r="H11" s="16">
        <v>50</v>
      </c>
      <c r="I11" s="16">
        <v>53</v>
      </c>
      <c r="J11" s="16">
        <f>AVERAGE(H11:I11)</f>
        <v>51.5</v>
      </c>
      <c r="K11" s="16">
        <v>100</v>
      </c>
      <c r="L11" s="15">
        <f t="shared" si="6"/>
        <v>7.0875251332055234</v>
      </c>
      <c r="M11" s="17">
        <f>(J11*K11)/(D11*E11)</f>
        <v>0.86554621848739499</v>
      </c>
      <c r="N11" s="18">
        <f t="shared" ref="N11:N12" si="11">J11*K11/(D11*E11-(J11*K11))</f>
        <v>6.4375</v>
      </c>
      <c r="O11" s="18">
        <f>dose!$H$11</f>
        <v>1.4144144144144144</v>
      </c>
      <c r="P11" s="23">
        <f t="shared" si="7"/>
        <v>4.5513535031847132</v>
      </c>
      <c r="R11" s="29">
        <v>55</v>
      </c>
      <c r="S11">
        <v>65</v>
      </c>
      <c r="T11">
        <f>AVERAGE(R11:S11)</f>
        <v>60</v>
      </c>
      <c r="U11" s="30">
        <v>100</v>
      </c>
      <c r="V11" s="47">
        <f>LOG10(U11*100*T11/F11*1000)</f>
        <v>7.1538691545479764</v>
      </c>
      <c r="W11" s="33">
        <v>45</v>
      </c>
      <c r="X11" s="16">
        <v>60</v>
      </c>
      <c r="Y11" s="40">
        <f>AVERAGE(W11:X11)</f>
        <v>52.5</v>
      </c>
      <c r="Z11" s="34">
        <v>100</v>
      </c>
      <c r="AA11" s="47">
        <f t="shared" si="9"/>
        <v>7.0958772075702896</v>
      </c>
      <c r="AC11" s="16"/>
      <c r="AD11" s="16"/>
      <c r="AE11" s="16"/>
      <c r="AF11" s="16"/>
      <c r="AG11" s="45"/>
    </row>
    <row r="12" spans="1:33" x14ac:dyDescent="0.2">
      <c r="A12" s="14" t="s">
        <v>49</v>
      </c>
      <c r="B12">
        <v>37</v>
      </c>
      <c r="C12">
        <v>30</v>
      </c>
      <c r="D12">
        <f>AVERAGE(B12:C12)</f>
        <v>33.5</v>
      </c>
      <c r="E12" s="14">
        <v>100</v>
      </c>
      <c r="F12" s="14">
        <f>1787.8-1765.8</f>
        <v>22</v>
      </c>
      <c r="G12" s="15">
        <f t="shared" si="10"/>
        <v>7.182622126214639</v>
      </c>
      <c r="H12" s="16">
        <v>28</v>
      </c>
      <c r="I12" s="16">
        <v>28</v>
      </c>
      <c r="J12" s="16">
        <f>AVERAGE(H12:I12)</f>
        <v>28</v>
      </c>
      <c r="K12" s="16">
        <v>100</v>
      </c>
      <c r="L12" s="15">
        <f t="shared" si="6"/>
        <v>7.1047353505200128</v>
      </c>
      <c r="M12" s="17">
        <f>(J12*K12)/(D12*E12)</f>
        <v>0.83582089552238803</v>
      </c>
      <c r="N12" s="18">
        <f t="shared" si="11"/>
        <v>5.0909090909090908</v>
      </c>
      <c r="O12" s="18">
        <f>dose!$H$11</f>
        <v>1.4144144144144144</v>
      </c>
      <c r="P12" s="23">
        <f t="shared" si="7"/>
        <v>3.5993051534452807</v>
      </c>
      <c r="R12" s="29">
        <v>33</v>
      </c>
      <c r="S12">
        <v>27</v>
      </c>
      <c r="T12">
        <f>AVERAGE(R12:S12)</f>
        <v>30</v>
      </c>
      <c r="U12" s="30">
        <v>100</v>
      </c>
      <c r="V12" s="47">
        <f t="shared" si="8"/>
        <v>7.134698573897456</v>
      </c>
      <c r="W12" s="33">
        <v>19</v>
      </c>
      <c r="X12" s="16">
        <v>23</v>
      </c>
      <c r="Y12" s="40">
        <f>AVERAGE(W12:X12)</f>
        <v>21</v>
      </c>
      <c r="Z12" s="34">
        <v>100</v>
      </c>
      <c r="AA12" s="47">
        <f>LOG10(Y12*Z12*100/F12*1000)</f>
        <v>6.9797966139117129</v>
      </c>
      <c r="AC12" s="16">
        <v>28</v>
      </c>
      <c r="AD12" s="16">
        <v>36</v>
      </c>
      <c r="AE12" s="16">
        <f>AVERAGE(AC12:AD12)</f>
        <v>32</v>
      </c>
      <c r="AF12" s="16">
        <v>100</v>
      </c>
      <c r="AG12" s="47">
        <f>LOG10(AE12*AF12*100/F12*1000)</f>
        <v>7.1627272974976997</v>
      </c>
    </row>
    <row r="13" spans="1:33" x14ac:dyDescent="0.2">
      <c r="A13" s="14" t="s">
        <v>50</v>
      </c>
      <c r="B13">
        <v>20</v>
      </c>
      <c r="C13">
        <v>22</v>
      </c>
      <c r="D13">
        <f>AVERAGE(B13:C13)</f>
        <v>21</v>
      </c>
      <c r="E13" s="14">
        <v>100</v>
      </c>
      <c r="F13" s="14">
        <f>1915.9-1832.6</f>
        <v>83.300000000000182</v>
      </c>
      <c r="G13" s="15">
        <f t="shared" si="10"/>
        <v>6.4015742933271307</v>
      </c>
      <c r="H13" s="16">
        <v>13</v>
      </c>
      <c r="I13" s="16">
        <v>20</v>
      </c>
      <c r="J13" s="16">
        <f>AVERAGE(H13:I13)</f>
        <v>16.5</v>
      </c>
      <c r="K13" s="16">
        <v>100</v>
      </c>
      <c r="L13" s="15">
        <f t="shared" si="6"/>
        <v>6.2968389428071179</v>
      </c>
      <c r="M13" s="17">
        <f>(J13*K13)/(D13*E13)</f>
        <v>0.7857142857142857</v>
      </c>
      <c r="N13" s="18">
        <f>J13*K13/(D13*E13-(J13*K13))</f>
        <v>3.6666666666666665</v>
      </c>
      <c r="O13" s="18">
        <f>dose!$H$11</f>
        <v>1.4144144144144144</v>
      </c>
      <c r="P13" s="23">
        <f t="shared" si="7"/>
        <v>2.5923566878980893</v>
      </c>
      <c r="R13" s="31">
        <v>20</v>
      </c>
      <c r="S13" s="6">
        <v>20</v>
      </c>
      <c r="T13" s="6">
        <f>AVERAGE(R13:S13)</f>
        <v>20</v>
      </c>
      <c r="U13" s="32">
        <v>100</v>
      </c>
      <c r="V13" s="48">
        <f t="shared" si="8"/>
        <v>6.3803849942571924</v>
      </c>
      <c r="W13" s="35">
        <v>16</v>
      </c>
      <c r="X13" s="36">
        <v>8</v>
      </c>
      <c r="Y13" s="41">
        <f>AVERAGE(W13:X13)</f>
        <v>12</v>
      </c>
      <c r="Z13" s="37">
        <v>100</v>
      </c>
      <c r="AA13" s="47">
        <f t="shared" si="9"/>
        <v>6.1585362446408363</v>
      </c>
      <c r="AC13">
        <v>8</v>
      </c>
      <c r="AD13">
        <v>10</v>
      </c>
      <c r="AE13" s="16">
        <f>AVERAGE(AC13:AD13)</f>
        <v>9</v>
      </c>
      <c r="AF13">
        <v>100</v>
      </c>
      <c r="AG13" s="47">
        <f>LOG10(AE13*AF13*100/F13*1000)</f>
        <v>6.0335975080325364</v>
      </c>
    </row>
    <row r="15" spans="1:33" ht="68" x14ac:dyDescent="0.2">
      <c r="A15" s="10" t="s">
        <v>57</v>
      </c>
      <c r="B15" s="67" t="s">
        <v>53</v>
      </c>
      <c r="C15" s="67"/>
      <c r="D15" s="11" t="s">
        <v>42</v>
      </c>
      <c r="E15" s="11" t="s">
        <v>43</v>
      </c>
      <c r="F15" s="11" t="s">
        <v>44</v>
      </c>
      <c r="G15" s="12" t="s">
        <v>45</v>
      </c>
      <c r="H15" s="67" t="s">
        <v>54</v>
      </c>
      <c r="I15" s="67"/>
      <c r="J15" s="11" t="s">
        <v>42</v>
      </c>
      <c r="K15" s="11" t="s">
        <v>43</v>
      </c>
      <c r="L15" s="12" t="s">
        <v>95</v>
      </c>
      <c r="M15" s="13" t="s">
        <v>46</v>
      </c>
      <c r="N15" s="20" t="s">
        <v>73</v>
      </c>
      <c r="O15" s="20" t="s">
        <v>74</v>
      </c>
      <c r="P15" s="12" t="s">
        <v>72</v>
      </c>
      <c r="R15" s="68" t="s">
        <v>86</v>
      </c>
      <c r="S15" s="69"/>
      <c r="T15" s="27" t="s">
        <v>42</v>
      </c>
      <c r="U15" s="28" t="s">
        <v>43</v>
      </c>
      <c r="V15" s="12" t="s">
        <v>45</v>
      </c>
      <c r="W15" s="68" t="s">
        <v>87</v>
      </c>
      <c r="X15" s="69"/>
      <c r="Y15" s="39" t="s">
        <v>42</v>
      </c>
      <c r="Z15" s="28" t="s">
        <v>43</v>
      </c>
      <c r="AA15" s="12" t="s">
        <v>92</v>
      </c>
      <c r="AC15" s="67" t="s">
        <v>88</v>
      </c>
      <c r="AD15" s="67"/>
      <c r="AE15" s="11" t="s">
        <v>42</v>
      </c>
      <c r="AF15" s="11" t="s">
        <v>43</v>
      </c>
      <c r="AG15" s="12" t="s">
        <v>92</v>
      </c>
    </row>
    <row r="16" spans="1:33" x14ac:dyDescent="0.2">
      <c r="A16" s="14" t="s">
        <v>58</v>
      </c>
      <c r="D16" t="e">
        <f>AVERAGE(B16:C16)</f>
        <v>#DIV/0!</v>
      </c>
      <c r="E16" s="14"/>
      <c r="F16" s="14"/>
      <c r="G16" s="15" t="e">
        <f>LOG10(D16*100*E16/F16*1000)</f>
        <v>#DIV/0!</v>
      </c>
      <c r="H16" s="16"/>
      <c r="I16" s="16"/>
      <c r="J16" s="16" t="e">
        <f>AVERAGE(H16:I16)</f>
        <v>#DIV/0!</v>
      </c>
      <c r="K16" s="16"/>
      <c r="L16" s="15" t="e">
        <f>LOG10(K16*100*J16/F16*1000)</f>
        <v>#DIV/0!</v>
      </c>
      <c r="M16" s="17" t="e">
        <f>(J16*K16)/(D16*E16)</f>
        <v>#DIV/0!</v>
      </c>
      <c r="N16" s="18" t="e">
        <f>J16*K16/(D16*E16-(J16*K16))</f>
        <v>#DIV/0!</v>
      </c>
      <c r="O16" s="18">
        <f>dose!$H$11</f>
        <v>1.4144144144144144</v>
      </c>
      <c r="P16" s="23" t="s">
        <v>56</v>
      </c>
      <c r="R16" s="29"/>
      <c r="T16" t="e">
        <f>AVERAGE(R16:S16)</f>
        <v>#DIV/0!</v>
      </c>
      <c r="U16" s="30"/>
      <c r="V16" s="47" t="e">
        <f>LOG10(U16*100*T16/F16*1000)</f>
        <v>#DIV/0!</v>
      </c>
      <c r="W16" s="33"/>
      <c r="X16" s="16"/>
      <c r="Y16" s="40" t="e">
        <f>AVERAGE(W16:X16)</f>
        <v>#DIV/0!</v>
      </c>
      <c r="Z16" s="34"/>
      <c r="AA16" s="47" t="e">
        <f>LOG10(Y16*Z16*100/F16*1000)</f>
        <v>#DIV/0!</v>
      </c>
      <c r="AC16" s="16"/>
      <c r="AD16" s="16"/>
      <c r="AE16" s="16"/>
      <c r="AF16" s="16"/>
      <c r="AG16" s="45"/>
    </row>
    <row r="17" spans="1:33" x14ac:dyDescent="0.2">
      <c r="A17" s="14" t="s">
        <v>48</v>
      </c>
      <c r="B17">
        <v>0</v>
      </c>
      <c r="C17">
        <v>0</v>
      </c>
      <c r="D17">
        <f>AVERAGE(B17:C17)</f>
        <v>0</v>
      </c>
      <c r="E17" s="14">
        <v>1</v>
      </c>
      <c r="F17" s="14">
        <f>1727.8-1700.6</f>
        <v>27.200000000000045</v>
      </c>
      <c r="G17" s="15" t="e">
        <f>LOG10(D17*100*E17/F17*1000)</f>
        <v>#NUM!</v>
      </c>
      <c r="H17" s="16">
        <v>0</v>
      </c>
      <c r="I17" s="16">
        <v>0</v>
      </c>
      <c r="J17" s="16">
        <f>AVERAGE(H17:I17)</f>
        <v>0</v>
      </c>
      <c r="K17" s="16">
        <v>1</v>
      </c>
      <c r="L17" s="15" t="e">
        <f t="shared" ref="L17:L20" si="12">LOG10(K17*100*J17/F17*1000)</f>
        <v>#NUM!</v>
      </c>
      <c r="M17" s="17" t="e">
        <f>(J17*K17)/(D17*E17)</f>
        <v>#DIV/0!</v>
      </c>
      <c r="N17" s="18" t="e">
        <f t="shared" ref="N17:N20" si="13">J17*K17/(D17*E17-(J17*K17))</f>
        <v>#DIV/0!</v>
      </c>
      <c r="O17" s="18">
        <f>dose!$H$11</f>
        <v>1.4144144144144144</v>
      </c>
      <c r="P17" s="23" t="s">
        <v>56</v>
      </c>
      <c r="R17" s="29">
        <v>0</v>
      </c>
      <c r="S17">
        <v>0</v>
      </c>
      <c r="T17">
        <f>AVERAGE(R17:S17)</f>
        <v>0</v>
      </c>
      <c r="U17" s="30">
        <v>1</v>
      </c>
      <c r="V17" s="47" t="e">
        <f t="shared" ref="V17:V20" si="14">LOG10(U17*100*T17/F17*1000)</f>
        <v>#NUM!</v>
      </c>
      <c r="W17" s="33">
        <v>0</v>
      </c>
      <c r="X17" s="16">
        <v>0</v>
      </c>
      <c r="Y17" s="40">
        <f>AVERAGE(W17:X17)</f>
        <v>0</v>
      </c>
      <c r="Z17" s="34">
        <v>1</v>
      </c>
      <c r="AA17" s="47" t="e">
        <f t="shared" ref="AA17:AA20" si="15">LOG10(Y17*Z17*100/F17*1000)</f>
        <v>#NUM!</v>
      </c>
      <c r="AC17" s="16"/>
      <c r="AD17" s="16"/>
      <c r="AE17" s="16"/>
      <c r="AF17" s="16"/>
      <c r="AG17" s="45"/>
    </row>
    <row r="18" spans="1:33" x14ac:dyDescent="0.2">
      <c r="A18" s="14" t="s">
        <v>51</v>
      </c>
      <c r="B18">
        <v>28</v>
      </c>
      <c r="C18">
        <v>30</v>
      </c>
      <c r="D18">
        <f>AVERAGE(B18:C18)</f>
        <v>29</v>
      </c>
      <c r="E18" s="14">
        <v>1</v>
      </c>
      <c r="F18" s="14">
        <f>1808.2-1765.3</f>
        <v>42.900000000000091</v>
      </c>
      <c r="G18" s="15">
        <f t="shared" ref="G18:G20" si="16">LOG10(D18*100*E18/F18*1000)</f>
        <v>4.8299407057142307</v>
      </c>
      <c r="H18" s="16">
        <v>0</v>
      </c>
      <c r="I18" s="16">
        <v>3</v>
      </c>
      <c r="J18" s="16">
        <f>AVERAGE(H18:I18)</f>
        <v>1.5</v>
      </c>
      <c r="K18" s="16">
        <v>1</v>
      </c>
      <c r="L18" s="15">
        <f t="shared" si="12"/>
        <v>3.543633966870956</v>
      </c>
      <c r="M18" s="17">
        <f>(J18*K18)/(D18*E18)</f>
        <v>5.1724137931034482E-2</v>
      </c>
      <c r="N18" s="18">
        <f t="shared" si="13"/>
        <v>5.4545454545454543E-2</v>
      </c>
      <c r="O18" s="18">
        <f>dose!$H$11</f>
        <v>1.4144144144144144</v>
      </c>
      <c r="P18" s="23">
        <f t="shared" ref="P18:P20" si="17">N18/O18</f>
        <v>3.8563983786913725E-2</v>
      </c>
      <c r="R18" s="29">
        <v>24</v>
      </c>
      <c r="S18">
        <v>22</v>
      </c>
      <c r="T18">
        <f>AVERAGE(R18:S18)</f>
        <v>23</v>
      </c>
      <c r="U18" s="30">
        <v>1</v>
      </c>
      <c r="V18" s="47">
        <f>LOG10(U18*100*T18/F18*1000)</f>
        <v>4.7292705438328682</v>
      </c>
      <c r="W18" s="33">
        <v>0</v>
      </c>
      <c r="X18" s="16">
        <v>1</v>
      </c>
      <c r="Y18" s="40">
        <f>AVERAGE(W18:X18)</f>
        <v>0.5</v>
      </c>
      <c r="Z18" s="34">
        <v>1</v>
      </c>
      <c r="AA18" s="47">
        <f t="shared" si="15"/>
        <v>3.0665127121512938</v>
      </c>
      <c r="AC18" s="16"/>
      <c r="AD18" s="16"/>
      <c r="AE18" s="16"/>
      <c r="AF18" s="16"/>
      <c r="AG18" s="45"/>
    </row>
    <row r="19" spans="1:33" x14ac:dyDescent="0.2">
      <c r="A19" s="14" t="s">
        <v>49</v>
      </c>
      <c r="B19">
        <v>74</v>
      </c>
      <c r="C19">
        <v>74</v>
      </c>
      <c r="D19">
        <f>AVERAGE(B19:C19)</f>
        <v>74</v>
      </c>
      <c r="E19" s="14">
        <v>10</v>
      </c>
      <c r="F19" s="14">
        <f>1800.9-1764.1</f>
        <v>36.800000000000182</v>
      </c>
      <c r="G19" s="15">
        <f t="shared" si="16"/>
        <v>6.3033839010574564</v>
      </c>
      <c r="H19" s="16">
        <v>6</v>
      </c>
      <c r="I19" s="16">
        <v>8</v>
      </c>
      <c r="J19" s="16">
        <f>AVERAGE(H19:I19)</f>
        <v>7</v>
      </c>
      <c r="K19" s="16">
        <v>10</v>
      </c>
      <c r="L19" s="15">
        <f t="shared" si="12"/>
        <v>5.2792502213407371</v>
      </c>
      <c r="M19" s="17">
        <f>(J19*K19)/(D19*E19)</f>
        <v>9.45945945945946E-2</v>
      </c>
      <c r="N19" s="18">
        <f t="shared" si="13"/>
        <v>0.1044776119402985</v>
      </c>
      <c r="O19" s="18">
        <f>dose!$H$11</f>
        <v>1.4144144144144144</v>
      </c>
      <c r="P19" s="23">
        <f t="shared" si="17"/>
        <v>7.3866337104287472E-2</v>
      </c>
      <c r="R19" s="29">
        <v>67</v>
      </c>
      <c r="S19">
        <v>68</v>
      </c>
      <c r="T19">
        <f>AVERAGE(R19:S19)</f>
        <v>67.5</v>
      </c>
      <c r="U19" s="30">
        <v>10</v>
      </c>
      <c r="V19" s="47">
        <f t="shared" si="14"/>
        <v>6.2634559541575054</v>
      </c>
      <c r="W19" s="33">
        <v>6</v>
      </c>
      <c r="X19" s="16">
        <v>5</v>
      </c>
      <c r="Y19" s="40">
        <f>AVERAGE(W19:X19)</f>
        <v>5.5</v>
      </c>
      <c r="Z19" s="34">
        <v>10</v>
      </c>
      <c r="AA19" s="47">
        <f>LOG10(Y19*Z19*100/F19*1000)</f>
        <v>5.1745148708207243</v>
      </c>
      <c r="AC19" s="16">
        <v>3</v>
      </c>
      <c r="AD19" s="16">
        <v>7</v>
      </c>
      <c r="AE19" s="16">
        <f>AVERAGE(AC19:AD19)</f>
        <v>5</v>
      </c>
      <c r="AF19" s="16">
        <v>10</v>
      </c>
      <c r="AG19" s="47">
        <f>LOG10(AE19*AF19*100/F19*1000)</f>
        <v>5.1331221856624989</v>
      </c>
    </row>
    <row r="20" spans="1:33" x14ac:dyDescent="0.2">
      <c r="A20" s="14" t="s">
        <v>50</v>
      </c>
      <c r="B20">
        <v>125</v>
      </c>
      <c r="C20">
        <v>130</v>
      </c>
      <c r="D20">
        <f>AVERAGE(B20:C20)</f>
        <v>127.5</v>
      </c>
      <c r="E20" s="14">
        <v>1</v>
      </c>
      <c r="F20" s="14">
        <f>1898.7-1762.3</f>
        <v>136.40000000000009</v>
      </c>
      <c r="G20" s="15">
        <f t="shared" si="16"/>
        <v>4.9706958144495133</v>
      </c>
      <c r="H20" s="16">
        <v>28</v>
      </c>
      <c r="I20" s="16">
        <v>33</v>
      </c>
      <c r="J20" s="16">
        <f>AVERAGE(H20:I20)</f>
        <v>30.5</v>
      </c>
      <c r="K20" s="16">
        <v>1</v>
      </c>
      <c r="L20" s="15">
        <f t="shared" si="12"/>
        <v>4.3494854690263258</v>
      </c>
      <c r="M20" s="17">
        <f>(J20*K20)/(D20*E20)</f>
        <v>0.23921568627450981</v>
      </c>
      <c r="N20" s="18">
        <f t="shared" si="13"/>
        <v>0.31443298969072164</v>
      </c>
      <c r="O20" s="18">
        <f>dose!$H$11</f>
        <v>1.4144144144144144</v>
      </c>
      <c r="P20" s="23">
        <f t="shared" si="17"/>
        <v>0.22230612646923631</v>
      </c>
      <c r="R20" s="31">
        <v>100</v>
      </c>
      <c r="S20" s="6">
        <v>112</v>
      </c>
      <c r="T20" s="6">
        <f>AVERAGE(R20:S20)</f>
        <v>106</v>
      </c>
      <c r="U20" s="32">
        <v>1</v>
      </c>
      <c r="V20" s="48">
        <f t="shared" si="14"/>
        <v>4.8904914949443095</v>
      </c>
      <c r="W20" s="35">
        <v>20</v>
      </c>
      <c r="X20" s="36">
        <v>18</v>
      </c>
      <c r="Y20" s="41">
        <f>AVERAGE(W20:X20)</f>
        <v>19</v>
      </c>
      <c r="Z20" s="37">
        <v>1</v>
      </c>
      <c r="AA20" s="47">
        <f t="shared" si="15"/>
        <v>4.1439392306323688</v>
      </c>
      <c r="AC20">
        <v>25</v>
      </c>
      <c r="AD20">
        <v>13</v>
      </c>
      <c r="AE20" s="16">
        <f>AVERAGE(AC20:AD20)</f>
        <v>19</v>
      </c>
      <c r="AF20">
        <v>1</v>
      </c>
      <c r="AG20" s="47">
        <f>LOG10(AE20*AF20*100/F20*1000)</f>
        <v>4.1439392306323688</v>
      </c>
    </row>
    <row r="22" spans="1:33" ht="68" x14ac:dyDescent="0.2">
      <c r="A22" s="10" t="s">
        <v>59</v>
      </c>
      <c r="B22" s="67" t="s">
        <v>53</v>
      </c>
      <c r="C22" s="67"/>
      <c r="D22" s="11" t="s">
        <v>42</v>
      </c>
      <c r="E22" s="11" t="s">
        <v>43</v>
      </c>
      <c r="F22" s="11" t="s">
        <v>44</v>
      </c>
      <c r="G22" s="12" t="s">
        <v>45</v>
      </c>
      <c r="H22" s="67" t="s">
        <v>54</v>
      </c>
      <c r="I22" s="67"/>
      <c r="J22" s="11" t="s">
        <v>42</v>
      </c>
      <c r="K22" s="11" t="s">
        <v>43</v>
      </c>
      <c r="L22" s="12" t="s">
        <v>95</v>
      </c>
      <c r="M22" s="13" t="s">
        <v>46</v>
      </c>
      <c r="N22" s="20" t="s">
        <v>73</v>
      </c>
      <c r="O22" s="20" t="s">
        <v>74</v>
      </c>
      <c r="P22" s="12" t="s">
        <v>72</v>
      </c>
      <c r="R22" s="68" t="s">
        <v>86</v>
      </c>
      <c r="S22" s="69"/>
      <c r="T22" s="27" t="s">
        <v>42</v>
      </c>
      <c r="U22" s="28" t="s">
        <v>43</v>
      </c>
      <c r="V22" s="12" t="s">
        <v>45</v>
      </c>
      <c r="W22" s="68" t="s">
        <v>87</v>
      </c>
      <c r="X22" s="69"/>
      <c r="Y22" s="39" t="s">
        <v>42</v>
      </c>
      <c r="Z22" s="28" t="s">
        <v>43</v>
      </c>
      <c r="AA22" s="12" t="s">
        <v>92</v>
      </c>
      <c r="AC22" s="67" t="s">
        <v>88</v>
      </c>
      <c r="AD22" s="67"/>
      <c r="AE22" s="11" t="s">
        <v>42</v>
      </c>
      <c r="AF22" s="11" t="s">
        <v>43</v>
      </c>
      <c r="AG22" s="12" t="s">
        <v>92</v>
      </c>
    </row>
    <row r="23" spans="1:33" x14ac:dyDescent="0.2">
      <c r="A23" s="14" t="s">
        <v>60</v>
      </c>
      <c r="B23">
        <v>32</v>
      </c>
      <c r="C23">
        <v>24</v>
      </c>
      <c r="D23">
        <f>AVERAGE(B23:C23)</f>
        <v>28</v>
      </c>
      <c r="E23" s="14">
        <v>100</v>
      </c>
      <c r="F23" s="14">
        <f>1670-1634.3</f>
        <v>35.700000000000045</v>
      </c>
      <c r="G23" s="15">
        <f>LOG10(D23*100*E23/F23*1000)</f>
        <v>6.8944898152300258</v>
      </c>
      <c r="H23" s="16">
        <v>16</v>
      </c>
      <c r="I23" s="16">
        <v>18</v>
      </c>
      <c r="J23" s="16">
        <f>AVERAGE(H23:I23)</f>
        <v>17</v>
      </c>
      <c r="K23" s="16">
        <v>1</v>
      </c>
      <c r="L23" s="15">
        <f>LOG10(K23*100*J23/F23*1000)</f>
        <v>4.6777807052660805</v>
      </c>
      <c r="M23" s="17">
        <f>(J23*K23)/(D23*E23)</f>
        <v>6.0714285714285714E-3</v>
      </c>
      <c r="N23" s="18">
        <f>J23*K23/(D23*E23-(J23*K23))</f>
        <v>6.1085159899389148E-3</v>
      </c>
      <c r="O23" s="18">
        <f>dose!$H$11</f>
        <v>1.4144144144144144</v>
      </c>
      <c r="P23" s="23">
        <f>N23/O23</f>
        <v>4.3187597126319718E-3</v>
      </c>
      <c r="R23" s="29">
        <v>15</v>
      </c>
      <c r="S23">
        <v>21</v>
      </c>
      <c r="T23">
        <f>AVERAGE(R23:S23)</f>
        <v>18</v>
      </c>
      <c r="U23" s="30">
        <v>100</v>
      </c>
      <c r="V23" s="47">
        <f>LOG10(U23*100*T23/F23*1000)</f>
        <v>6.7026042889911119</v>
      </c>
      <c r="W23" s="33">
        <v>11</v>
      </c>
      <c r="X23" s="16">
        <v>14</v>
      </c>
      <c r="Y23" s="40">
        <f>AVERAGE(W23:X23)</f>
        <v>12.5</v>
      </c>
      <c r="Z23" s="34">
        <v>1</v>
      </c>
      <c r="AA23" s="47">
        <f>LOG10(Y23*Z23*100/F23*1000)</f>
        <v>4.5442417968958626</v>
      </c>
      <c r="AC23" s="16"/>
      <c r="AD23" s="16"/>
      <c r="AE23" s="16"/>
      <c r="AF23" s="16"/>
      <c r="AG23" s="45"/>
    </row>
    <row r="24" spans="1:33" x14ac:dyDescent="0.2">
      <c r="A24" s="14" t="s">
        <v>48</v>
      </c>
      <c r="B24">
        <v>116</v>
      </c>
      <c r="C24">
        <v>135</v>
      </c>
      <c r="D24">
        <f>AVERAGE(B24:C24)</f>
        <v>125.5</v>
      </c>
      <c r="E24" s="14">
        <v>1000</v>
      </c>
      <c r="F24" s="14">
        <f>1811.4-1758.3</f>
        <v>53.100000000000136</v>
      </c>
      <c r="G24" s="15">
        <f>LOG10(D24*100*E24/F24*1000)</f>
        <v>8.3735492047355873</v>
      </c>
      <c r="H24" s="16">
        <v>27</v>
      </c>
      <c r="I24" s="16">
        <v>12</v>
      </c>
      <c r="J24" s="16">
        <f>AVERAGE(H24:I24)</f>
        <v>19.5</v>
      </c>
      <c r="K24" s="16">
        <v>100</v>
      </c>
      <c r="L24" s="15">
        <f t="shared" ref="L24:L27" si="18">LOG10(K24*100*J24/F24*1000)</f>
        <v>6.5649400902810475</v>
      </c>
      <c r="M24" s="17">
        <f>(J24*K24)/(D24*E24)</f>
        <v>1.5537848605577689E-2</v>
      </c>
      <c r="N24" s="18">
        <f t="shared" ref="N24:N27" si="19">J24*K24/(D24*E24-(J24*K24))</f>
        <v>1.5783083771752329E-2</v>
      </c>
      <c r="O24" s="18">
        <f>dose!$H$11</f>
        <v>1.4144144144144144</v>
      </c>
      <c r="P24" s="23">
        <f t="shared" ref="P24:P27" si="20">N24/O24</f>
        <v>1.1158740755824894E-2</v>
      </c>
      <c r="R24" s="29">
        <v>91</v>
      </c>
      <c r="S24">
        <v>69</v>
      </c>
      <c r="T24">
        <f>AVERAGE(R24:S24)</f>
        <v>80</v>
      </c>
      <c r="U24" s="30">
        <v>1000</v>
      </c>
      <c r="V24" s="47">
        <f t="shared" ref="V24:V27" si="21">LOG10(U24*100*T24/F24*1000)</f>
        <v>8.1779954659104739</v>
      </c>
      <c r="W24" s="33">
        <v>31</v>
      </c>
      <c r="X24" s="16">
        <v>36</v>
      </c>
      <c r="Y24" s="40">
        <f>AVERAGE(W24:X24)</f>
        <v>33.5</v>
      </c>
      <c r="Z24" s="34">
        <v>100</v>
      </c>
      <c r="AA24" s="47">
        <f t="shared" ref="AA24:AA27" si="22">LOG10(Y24*Z24*100/F24*1000)</f>
        <v>6.7999502859553749</v>
      </c>
      <c r="AC24" s="16"/>
      <c r="AD24" s="16"/>
      <c r="AE24" s="16"/>
      <c r="AF24" s="16"/>
      <c r="AG24" s="45"/>
    </row>
    <row r="25" spans="1:33" x14ac:dyDescent="0.2">
      <c r="A25" s="14" t="s">
        <v>51</v>
      </c>
      <c r="B25">
        <f>AVERAGE(56,53)</f>
        <v>54.5</v>
      </c>
      <c r="C25">
        <f>AVERAGE(44,45)</f>
        <v>44.5</v>
      </c>
      <c r="D25">
        <f>AVERAGE(B25:C25)</f>
        <v>49.5</v>
      </c>
      <c r="E25" s="14">
        <v>1000</v>
      </c>
      <c r="F25" s="14">
        <f>1865.8-1831.2</f>
        <v>34.599999999999909</v>
      </c>
      <c r="G25" s="15">
        <f t="shared" ref="G25:G27" si="23">LOG10(D25*100*E25/F25*1000)</f>
        <v>8.155529100140793</v>
      </c>
      <c r="H25" s="16">
        <v>16</v>
      </c>
      <c r="I25" s="16">
        <v>20</v>
      </c>
      <c r="J25" s="16">
        <f>AVERAGE(H25:I25)</f>
        <v>18</v>
      </c>
      <c r="K25" s="16">
        <v>100</v>
      </c>
      <c r="L25" s="15">
        <f>LOG10(K25*100*J25/F25*1000)</f>
        <v>6.7161964063105302</v>
      </c>
      <c r="M25" s="17">
        <f>(J25*K25)/(D25*E25)</f>
        <v>3.6363636363636362E-2</v>
      </c>
      <c r="N25" s="18">
        <f t="shared" si="19"/>
        <v>3.7735849056603772E-2</v>
      </c>
      <c r="O25" s="18">
        <f>dose!$H$11</f>
        <v>1.4144144144144144</v>
      </c>
      <c r="P25" s="23">
        <f t="shared" si="20"/>
        <v>2.6679485638745341E-2</v>
      </c>
      <c r="R25" s="29">
        <v>37</v>
      </c>
      <c r="S25">
        <v>37</v>
      </c>
      <c r="T25">
        <f>AVERAGE(R25:S25)</f>
        <v>37</v>
      </c>
      <c r="U25" s="30">
        <v>1000</v>
      </c>
      <c r="V25" s="47">
        <f>LOG10(U25*100*T25/F25*1000)</f>
        <v>8.0291256252742205</v>
      </c>
      <c r="W25" s="33">
        <v>16</v>
      </c>
      <c r="X25" s="16">
        <v>21</v>
      </c>
      <c r="Y25" s="40">
        <f>AVERAGE(W25:X25)</f>
        <v>18.5</v>
      </c>
      <c r="Z25" s="34">
        <v>100</v>
      </c>
      <c r="AA25" s="47">
        <f t="shared" si="22"/>
        <v>6.7280956296102383</v>
      </c>
      <c r="AC25" s="16"/>
      <c r="AD25" s="16"/>
      <c r="AE25" s="16"/>
      <c r="AF25" s="16"/>
      <c r="AG25" s="45"/>
    </row>
    <row r="26" spans="1:33" x14ac:dyDescent="0.2">
      <c r="A26" s="14" t="s">
        <v>49</v>
      </c>
      <c r="B26">
        <v>17</v>
      </c>
      <c r="C26">
        <v>21</v>
      </c>
      <c r="D26">
        <f>AVERAGE(B26:C26)</f>
        <v>19</v>
      </c>
      <c r="E26" s="14">
        <v>10000</v>
      </c>
      <c r="F26" s="14">
        <f>1775.8-1724.1</f>
        <v>51.700000000000045</v>
      </c>
      <c r="G26" s="15">
        <f t="shared" si="23"/>
        <v>8.5652630578588855</v>
      </c>
      <c r="H26" s="16">
        <v>12</v>
      </c>
      <c r="I26" s="16">
        <v>12</v>
      </c>
      <c r="J26" s="16">
        <f>AVERAGE(H26:I26)</f>
        <v>12</v>
      </c>
      <c r="K26" s="16">
        <v>10000</v>
      </c>
      <c r="L26" s="15">
        <f t="shared" si="18"/>
        <v>8.3656907029536818</v>
      </c>
      <c r="M26" s="17">
        <f>(J26*K26)/(D26*E26)</f>
        <v>0.63157894736842102</v>
      </c>
      <c r="N26" s="18">
        <f t="shared" si="19"/>
        <v>1.7142857142857142</v>
      </c>
      <c r="O26" s="18">
        <f>dose!$H$11</f>
        <v>1.4144144144144144</v>
      </c>
      <c r="P26" s="23">
        <f t="shared" si="20"/>
        <v>1.2120109190172883</v>
      </c>
      <c r="R26" s="29">
        <v>92</v>
      </c>
      <c r="S26">
        <v>82</v>
      </c>
      <c r="T26">
        <f>AVERAGE(R26:S26)</f>
        <v>87</v>
      </c>
      <c r="U26" s="30">
        <v>1000</v>
      </c>
      <c r="V26" s="47">
        <f t="shared" si="21"/>
        <v>8.2260287095246749</v>
      </c>
      <c r="W26" s="33">
        <v>38</v>
      </c>
      <c r="X26" s="16">
        <v>43</v>
      </c>
      <c r="Y26" s="40">
        <f>AVERAGE(W26:X26)</f>
        <v>40.5</v>
      </c>
      <c r="Z26" s="34">
        <v>1000</v>
      </c>
      <c r="AA26" s="47">
        <f>LOG10(Y26*Z26*100/F26*1000)</f>
        <v>7.8939644801207258</v>
      </c>
      <c r="AC26" s="16">
        <v>74</v>
      </c>
      <c r="AD26" s="16">
        <v>81</v>
      </c>
      <c r="AE26" s="16">
        <f>AVERAGE(AC26:AD26)</f>
        <v>77.5</v>
      </c>
      <c r="AF26" s="16">
        <v>1000</v>
      </c>
      <c r="AG26" s="47">
        <f>LOG10(AE26*AF26*100/F26*1000)</f>
        <v>8.1758111594123672</v>
      </c>
    </row>
    <row r="27" spans="1:33" x14ac:dyDescent="0.2">
      <c r="A27" s="14" t="s">
        <v>50</v>
      </c>
      <c r="B27">
        <v>29</v>
      </c>
      <c r="C27">
        <v>36</v>
      </c>
      <c r="D27">
        <f>AVERAGE(B27:C27)</f>
        <v>32.5</v>
      </c>
      <c r="E27" s="14">
        <v>100</v>
      </c>
      <c r="F27" s="14">
        <f>1732.7-1711.9</f>
        <v>20.799999999999955</v>
      </c>
      <c r="G27" s="15">
        <f t="shared" si="23"/>
        <v>7.1938200260161143</v>
      </c>
      <c r="H27" s="16">
        <v>21</v>
      </c>
      <c r="I27" s="16">
        <v>21</v>
      </c>
      <c r="J27" s="16">
        <f>AVERAGE(H27:I27)</f>
        <v>21</v>
      </c>
      <c r="K27" s="16">
        <v>100</v>
      </c>
      <c r="L27" s="15">
        <f t="shared" si="18"/>
        <v>7.0041559597711585</v>
      </c>
      <c r="M27" s="17">
        <f>(J27*K27)/(D27*E27)</f>
        <v>0.64615384615384619</v>
      </c>
      <c r="N27" s="18">
        <f t="shared" si="19"/>
        <v>1.826086956521739</v>
      </c>
      <c r="O27" s="18">
        <f>dose!$H$11</f>
        <v>1.4144144144144144</v>
      </c>
      <c r="P27" s="23">
        <f t="shared" si="20"/>
        <v>1.2910551093879812</v>
      </c>
      <c r="R27" s="31">
        <v>32</v>
      </c>
      <c r="S27" s="6">
        <v>35</v>
      </c>
      <c r="T27" s="6">
        <f>AVERAGE(R27:S27)</f>
        <v>33.5</v>
      </c>
      <c r="U27" s="32">
        <v>100</v>
      </c>
      <c r="V27" s="48">
        <f t="shared" si="21"/>
        <v>7.2069814720740846</v>
      </c>
      <c r="W27" s="35">
        <v>14</v>
      </c>
      <c r="X27" s="36">
        <v>21</v>
      </c>
      <c r="Y27" s="41">
        <f>AVERAGE(W27:X27)</f>
        <v>17.5</v>
      </c>
      <c r="Z27" s="37">
        <v>100</v>
      </c>
      <c r="AA27" s="47">
        <f t="shared" si="22"/>
        <v>6.9249747137235342</v>
      </c>
      <c r="AC27">
        <v>13</v>
      </c>
      <c r="AD27">
        <v>30</v>
      </c>
      <c r="AE27" s="16">
        <f>AVERAGE(AC27:AD27)</f>
        <v>21.5</v>
      </c>
      <c r="AF27">
        <v>100</v>
      </c>
      <c r="AG27" s="47">
        <f>LOG10(AE27*AF27*100/F27*1000)</f>
        <v>7.0143751249528448</v>
      </c>
    </row>
    <row r="29" spans="1:33" ht="68" x14ac:dyDescent="0.2">
      <c r="A29" s="10" t="s">
        <v>61</v>
      </c>
      <c r="B29" s="67" t="s">
        <v>53</v>
      </c>
      <c r="C29" s="67"/>
      <c r="D29" s="11" t="s">
        <v>42</v>
      </c>
      <c r="E29" s="11" t="s">
        <v>43</v>
      </c>
      <c r="F29" s="11" t="s">
        <v>44</v>
      </c>
      <c r="G29" s="12" t="s">
        <v>45</v>
      </c>
      <c r="H29" s="67" t="s">
        <v>54</v>
      </c>
      <c r="I29" s="67"/>
      <c r="J29" s="11" t="s">
        <v>42</v>
      </c>
      <c r="K29" s="11" t="s">
        <v>43</v>
      </c>
      <c r="L29" s="12" t="s">
        <v>95</v>
      </c>
      <c r="M29" s="13" t="s">
        <v>46</v>
      </c>
      <c r="N29" s="20" t="s">
        <v>73</v>
      </c>
      <c r="O29" s="20" t="s">
        <v>74</v>
      </c>
      <c r="P29" s="12" t="s">
        <v>72</v>
      </c>
      <c r="R29" s="68" t="s">
        <v>86</v>
      </c>
      <c r="S29" s="69"/>
      <c r="T29" s="27" t="s">
        <v>42</v>
      </c>
      <c r="U29" s="28" t="s">
        <v>43</v>
      </c>
      <c r="V29" s="12" t="s">
        <v>45</v>
      </c>
      <c r="W29" s="68" t="s">
        <v>87</v>
      </c>
      <c r="X29" s="69"/>
      <c r="Y29" s="39" t="s">
        <v>42</v>
      </c>
      <c r="Z29" s="28" t="s">
        <v>43</v>
      </c>
      <c r="AA29" s="12" t="s">
        <v>92</v>
      </c>
      <c r="AC29" s="67" t="s">
        <v>88</v>
      </c>
      <c r="AD29" s="67"/>
      <c r="AE29" s="11" t="s">
        <v>42</v>
      </c>
      <c r="AF29" s="11" t="s">
        <v>43</v>
      </c>
      <c r="AG29" s="12" t="s">
        <v>92</v>
      </c>
    </row>
    <row r="30" spans="1:33" x14ac:dyDescent="0.2">
      <c r="A30" s="14" t="s">
        <v>60</v>
      </c>
      <c r="B30">
        <v>214</v>
      </c>
      <c r="C30">
        <v>197</v>
      </c>
      <c r="D30">
        <f>AVERAGE(B30:C30)</f>
        <v>205.5</v>
      </c>
      <c r="E30" s="14">
        <v>100</v>
      </c>
      <c r="F30" s="14">
        <f>1651.6-1634</f>
        <v>17.599999999999909</v>
      </c>
      <c r="G30" s="15">
        <f>LOG10(D30*100*E30/F30*1000)</f>
        <v>8.0672991583979403</v>
      </c>
      <c r="H30" s="16">
        <v>171</v>
      </c>
      <c r="I30" s="16">
        <v>149</v>
      </c>
      <c r="J30" s="16">
        <f>AVERAGE(H30:I30)</f>
        <v>160</v>
      </c>
      <c r="K30" s="16">
        <v>100</v>
      </c>
      <c r="L30" s="15">
        <f>LOG10(K30*100*J30/F30*1000)</f>
        <v>7.9586073148417773</v>
      </c>
      <c r="M30" s="17">
        <f>(J30*K30)/(D30*E30)</f>
        <v>0.77858880778588813</v>
      </c>
      <c r="N30" s="18">
        <f>J30*K30/(D30*E30-(J30*K30))</f>
        <v>3.5164835164835164</v>
      </c>
      <c r="O30" s="18">
        <f>dose!$H$11</f>
        <v>1.4144144144144144</v>
      </c>
      <c r="P30" s="23">
        <f>N30/O30</f>
        <v>2.4861762441380275</v>
      </c>
      <c r="R30" s="29">
        <v>164</v>
      </c>
      <c r="S30">
        <v>133</v>
      </c>
      <c r="T30">
        <f>AVERAGE(R30:S30)</f>
        <v>148.5</v>
      </c>
      <c r="U30" s="30">
        <v>100</v>
      </c>
      <c r="V30" s="47">
        <f>LOG10(U30*100*T30/F30*1000)</f>
        <v>7.9262137858390833</v>
      </c>
      <c r="W30" s="33">
        <v>98</v>
      </c>
      <c r="X30" s="16">
        <v>116</v>
      </c>
      <c r="Y30" s="40">
        <f>AVERAGE(W30:X30)</f>
        <v>107</v>
      </c>
      <c r="Z30" s="34">
        <v>100</v>
      </c>
      <c r="AA30" s="47">
        <f>LOG10(Y30*Z30*100/F30*1000)</f>
        <v>7.783871109871062</v>
      </c>
      <c r="AC30" s="16"/>
      <c r="AD30" s="16"/>
      <c r="AE30" s="16"/>
      <c r="AF30" s="16"/>
      <c r="AG30" s="45"/>
    </row>
    <row r="31" spans="1:33" x14ac:dyDescent="0.2">
      <c r="A31" s="14" t="s">
        <v>48</v>
      </c>
      <c r="B31">
        <v>29</v>
      </c>
      <c r="C31">
        <v>18</v>
      </c>
      <c r="D31">
        <f>AVERAGE(B31:C31)</f>
        <v>23.5</v>
      </c>
      <c r="E31" s="14">
        <v>10000</v>
      </c>
      <c r="F31" s="14">
        <f>1823.1-1744.5</f>
        <v>78.599999999999909</v>
      </c>
      <c r="G31" s="15">
        <f>LOG10(D31*100*E31/F31*1000)</f>
        <v>8.4756453162323293</v>
      </c>
      <c r="H31" s="16">
        <v>20</v>
      </c>
      <c r="I31" s="16">
        <v>16</v>
      </c>
      <c r="J31" s="16">
        <f>AVERAGE(H31:I31)</f>
        <v>18</v>
      </c>
      <c r="K31" s="16">
        <v>10000</v>
      </c>
      <c r="L31" s="15">
        <f t="shared" ref="L31:L34" si="24">LOG10(K31*100*J31/F31*1000)</f>
        <v>8.359849959063899</v>
      </c>
      <c r="M31" s="17">
        <f>(J31*K31)/(D31*E31)</f>
        <v>0.76595744680851063</v>
      </c>
      <c r="N31" s="18">
        <f t="shared" ref="N31:N34" si="25">J31*K31/(D31*E31-(J31*K31))</f>
        <v>3.2727272727272729</v>
      </c>
      <c r="O31" s="18">
        <f>dose!$H$11</f>
        <v>1.4144144144144144</v>
      </c>
      <c r="P31" s="23">
        <f t="shared" ref="P31:P34" si="26">N31/O31</f>
        <v>2.3138390272148235</v>
      </c>
      <c r="R31" s="29">
        <v>106</v>
      </c>
      <c r="S31">
        <v>125</v>
      </c>
      <c r="T31">
        <f>AVERAGE(R31:S31)</f>
        <v>115.5</v>
      </c>
      <c r="U31" s="30">
        <v>1000</v>
      </c>
      <c r="V31" s="47">
        <f t="shared" ref="V31" si="27">LOG10(U31*100*T31/F31*1000)</f>
        <v>8.1671594381887562</v>
      </c>
      <c r="W31" s="33"/>
      <c r="X31" s="16">
        <v>71</v>
      </c>
      <c r="Y31" s="40">
        <f>AVERAGE(W31:X31)</f>
        <v>71</v>
      </c>
      <c r="Z31" s="34">
        <v>1000</v>
      </c>
      <c r="AA31" s="47">
        <f t="shared" ref="AA31:AA34" si="28">LOG10(Y31*Z31*100/F31*1000)</f>
        <v>7.9558358026796681</v>
      </c>
      <c r="AC31" s="16"/>
      <c r="AD31" s="16"/>
      <c r="AE31" s="16"/>
      <c r="AF31" s="16"/>
      <c r="AG31" s="45"/>
    </row>
    <row r="32" spans="1:33" x14ac:dyDescent="0.2">
      <c r="A32" s="14" t="s">
        <v>51</v>
      </c>
      <c r="B32">
        <v>28</v>
      </c>
      <c r="C32">
        <v>30</v>
      </c>
      <c r="D32">
        <f>AVERAGE(B32:C32)</f>
        <v>29</v>
      </c>
      <c r="E32" s="14">
        <v>10000</v>
      </c>
      <c r="F32" s="14">
        <f>1741.6-1706.1</f>
        <v>35.5</v>
      </c>
      <c r="G32" s="15">
        <f t="shared" ref="G32:G34" si="29">LOG10(D32*100*E32/F32*1000)</f>
        <v>8.9121696448438623</v>
      </c>
      <c r="H32" s="16">
        <v>29</v>
      </c>
      <c r="I32" s="16">
        <v>31</v>
      </c>
      <c r="J32" s="16">
        <f>AVERAGE(H32:I32)</f>
        <v>30</v>
      </c>
      <c r="K32" s="16">
        <v>10000</v>
      </c>
      <c r="L32" s="15">
        <f t="shared" si="24"/>
        <v>8.9268929016645675</v>
      </c>
      <c r="M32" s="17">
        <f>(J32*K32)/(D32*E32)</f>
        <v>1.0344827586206897</v>
      </c>
      <c r="N32" s="22">
        <f t="shared" si="25"/>
        <v>-30</v>
      </c>
      <c r="O32" s="18">
        <f>dose!$H$11</f>
        <v>1.4144144144144144</v>
      </c>
      <c r="P32" s="24">
        <f t="shared" si="26"/>
        <v>-21.210191082802549</v>
      </c>
      <c r="R32" s="29">
        <v>89</v>
      </c>
      <c r="S32">
        <v>100</v>
      </c>
      <c r="T32">
        <f>AVERAGE(R32:S32)</f>
        <v>94.5</v>
      </c>
      <c r="U32" s="30">
        <v>1000</v>
      </c>
      <c r="V32" s="47">
        <f>LOG10(U32*100*T32/F32*1000)</f>
        <v>8.4252034554541684</v>
      </c>
      <c r="W32" s="33">
        <v>87</v>
      </c>
      <c r="X32" s="16">
        <v>81</v>
      </c>
      <c r="Y32" s="40">
        <f>AVERAGE(W32:X32)</f>
        <v>84</v>
      </c>
      <c r="Z32" s="34">
        <v>1000</v>
      </c>
      <c r="AA32" s="47">
        <f>LOG10(Y32*Z32*100/F32*1000)</f>
        <v>8.3740509330067869</v>
      </c>
      <c r="AC32" s="16"/>
      <c r="AD32" s="16"/>
      <c r="AE32" s="16"/>
      <c r="AF32" s="16"/>
      <c r="AG32" s="45"/>
    </row>
    <row r="33" spans="1:33" x14ac:dyDescent="0.2">
      <c r="A33" s="14" t="s">
        <v>49</v>
      </c>
      <c r="B33">
        <v>44</v>
      </c>
      <c r="C33">
        <v>50</v>
      </c>
      <c r="D33">
        <f>AVERAGE(B33:C33)</f>
        <v>47</v>
      </c>
      <c r="E33" s="14">
        <v>100</v>
      </c>
      <c r="F33" s="14">
        <f>1785.1-1756.7</f>
        <v>28.399999999999864</v>
      </c>
      <c r="G33" s="15">
        <f t="shared" si="29"/>
        <v>7.2187795178886818</v>
      </c>
      <c r="H33" s="16">
        <v>44</v>
      </c>
      <c r="I33" s="16">
        <v>42</v>
      </c>
      <c r="J33" s="16">
        <f>AVERAGE(H33:I33)</f>
        <v>43</v>
      </c>
      <c r="K33" s="16">
        <v>100</v>
      </c>
      <c r="L33" s="15">
        <f t="shared" si="24"/>
        <v>7.1801501155325509</v>
      </c>
      <c r="M33" s="17">
        <f>(J33*K33)/(D33*E33)</f>
        <v>0.91489361702127658</v>
      </c>
      <c r="N33" s="18">
        <f t="shared" si="25"/>
        <v>10.75</v>
      </c>
      <c r="O33" s="18">
        <f>dose!$H$11</f>
        <v>1.4144144144144144</v>
      </c>
      <c r="P33" s="23">
        <f t="shared" si="26"/>
        <v>7.6003184713375793</v>
      </c>
      <c r="R33" s="29">
        <v>43</v>
      </c>
      <c r="S33">
        <v>34</v>
      </c>
      <c r="T33">
        <f>AVERAGE(R33:S33)</f>
        <v>38.5</v>
      </c>
      <c r="U33" s="30">
        <v>100</v>
      </c>
      <c r="V33" s="47">
        <f>LOG10(U33*100*T33/F33*1000)</f>
        <v>7.1321423894614648</v>
      </c>
      <c r="W33" s="33">
        <v>33</v>
      </c>
      <c r="X33" s="16">
        <v>37</v>
      </c>
      <c r="Y33" s="40">
        <f>AVERAGE(W33:X33)</f>
        <v>35</v>
      </c>
      <c r="Z33" s="34">
        <v>100</v>
      </c>
      <c r="AA33" s="47">
        <f>LOG10(Y33*Z33*100/F33*1000)</f>
        <v>7.0907497043032404</v>
      </c>
      <c r="AC33" s="16">
        <v>41</v>
      </c>
      <c r="AD33" s="16">
        <v>44</v>
      </c>
      <c r="AE33" s="16">
        <f>AVERAGE(AC33:AD33)</f>
        <v>42.5</v>
      </c>
      <c r="AF33" s="16">
        <v>100</v>
      </c>
      <c r="AG33" s="47">
        <f>LOG10(AE33*AF33*100/F33*1000)</f>
        <v>7.1750705900032763</v>
      </c>
    </row>
    <row r="34" spans="1:33" x14ac:dyDescent="0.2">
      <c r="A34" s="14" t="s">
        <v>50</v>
      </c>
      <c r="B34">
        <v>9</v>
      </c>
      <c r="C34">
        <v>14</v>
      </c>
      <c r="D34">
        <f>AVERAGE(B34:C34)</f>
        <v>11.5</v>
      </c>
      <c r="E34" s="14">
        <v>100</v>
      </c>
      <c r="F34" s="14">
        <f>1679.4-1638.2</f>
        <v>41.200000000000045</v>
      </c>
      <c r="G34" s="15">
        <f t="shared" si="29"/>
        <v>6.4458006243204764</v>
      </c>
      <c r="H34" s="16">
        <v>8</v>
      </c>
      <c r="I34" s="16">
        <v>13</v>
      </c>
      <c r="J34" s="16">
        <f>AVERAGE(H34:I34)</f>
        <v>10.5</v>
      </c>
      <c r="K34" s="16">
        <v>100</v>
      </c>
      <c r="L34" s="15">
        <f t="shared" si="24"/>
        <v>6.4062920830368029</v>
      </c>
      <c r="M34" s="17">
        <f>(J34*K34)/(D34*E34)</f>
        <v>0.91304347826086951</v>
      </c>
      <c r="N34" s="18">
        <f t="shared" si="25"/>
        <v>10.5</v>
      </c>
      <c r="O34" s="18">
        <f>dose!$H$11</f>
        <v>1.4144144144144144</v>
      </c>
      <c r="P34" s="23">
        <f t="shared" si="26"/>
        <v>7.4235668789808917</v>
      </c>
      <c r="R34" s="31">
        <v>19</v>
      </c>
      <c r="S34" s="6">
        <v>12</v>
      </c>
      <c r="T34" s="6">
        <f>AVERAGE(R34:S34)</f>
        <v>15.5</v>
      </c>
      <c r="U34" s="32">
        <v>100</v>
      </c>
      <c r="V34" s="48">
        <f>LOG10(U34*100*T34/F34*1000)</f>
        <v>6.5754344821371564</v>
      </c>
      <c r="W34" s="35">
        <v>7</v>
      </c>
      <c r="X34" s="36">
        <v>5</v>
      </c>
      <c r="Y34" s="41">
        <f>AVERAGE(W34:X34)</f>
        <v>6</v>
      </c>
      <c r="Z34" s="37">
        <v>100</v>
      </c>
      <c r="AA34" s="47">
        <f t="shared" si="28"/>
        <v>6.1632540343505084</v>
      </c>
      <c r="AC34">
        <v>10</v>
      </c>
      <c r="AD34">
        <v>10</v>
      </c>
      <c r="AE34" s="16">
        <f>AVERAGE(AC34:AD34)</f>
        <v>10</v>
      </c>
      <c r="AF34">
        <v>100</v>
      </c>
      <c r="AG34" s="47">
        <f>LOG10(AE34*AF34*100/F34*1000)</f>
        <v>6.3851027839668646</v>
      </c>
    </row>
    <row r="35" spans="1:33" s="19" customFormat="1" x14ac:dyDescent="0.2">
      <c r="P35" s="25"/>
      <c r="V35" s="46"/>
      <c r="Y35" s="42"/>
      <c r="AA35" s="46"/>
    </row>
    <row r="37" spans="1:33" ht="68" x14ac:dyDescent="0.2">
      <c r="A37" s="10" t="s">
        <v>62</v>
      </c>
      <c r="B37" s="67" t="s">
        <v>53</v>
      </c>
      <c r="C37" s="67"/>
      <c r="D37" s="11" t="s">
        <v>42</v>
      </c>
      <c r="E37" s="11" t="s">
        <v>43</v>
      </c>
      <c r="F37" s="11" t="s">
        <v>44</v>
      </c>
      <c r="G37" s="12" t="s">
        <v>45</v>
      </c>
      <c r="H37" s="67" t="s">
        <v>63</v>
      </c>
      <c r="I37" s="67"/>
      <c r="J37" s="11" t="s">
        <v>42</v>
      </c>
      <c r="K37" s="11" t="s">
        <v>43</v>
      </c>
      <c r="L37" s="12" t="s">
        <v>96</v>
      </c>
      <c r="M37" s="13" t="s">
        <v>65</v>
      </c>
      <c r="N37" s="20" t="s">
        <v>77</v>
      </c>
      <c r="O37" s="20" t="s">
        <v>78</v>
      </c>
      <c r="P37" s="12" t="s">
        <v>72</v>
      </c>
      <c r="R37" s="68" t="s">
        <v>86</v>
      </c>
      <c r="S37" s="69"/>
      <c r="T37" s="27" t="s">
        <v>42</v>
      </c>
      <c r="U37" s="28" t="s">
        <v>43</v>
      </c>
      <c r="V37" s="38" t="s">
        <v>45</v>
      </c>
      <c r="W37" s="68" t="s">
        <v>89</v>
      </c>
      <c r="X37" s="69"/>
      <c r="Y37" s="39" t="s">
        <v>42</v>
      </c>
      <c r="Z37" s="28" t="s">
        <v>43</v>
      </c>
      <c r="AC37" s="67" t="s">
        <v>93</v>
      </c>
      <c r="AD37" s="67"/>
      <c r="AE37" s="11" t="s">
        <v>42</v>
      </c>
      <c r="AF37" s="11" t="s">
        <v>43</v>
      </c>
      <c r="AG37" s="12" t="s">
        <v>94</v>
      </c>
    </row>
    <row r="38" spans="1:33" x14ac:dyDescent="0.2">
      <c r="A38" s="14" t="s">
        <v>47</v>
      </c>
      <c r="B38">
        <v>61</v>
      </c>
      <c r="C38">
        <v>63</v>
      </c>
      <c r="D38">
        <f>AVERAGE(B38:C38)</f>
        <v>62</v>
      </c>
      <c r="E38" s="14">
        <v>1000</v>
      </c>
      <c r="F38" s="14">
        <f>1805.6-1748.6</f>
        <v>57</v>
      </c>
      <c r="G38" s="15">
        <f>LOG10(D38*100*E38/F38*1000)</f>
        <v>8.0365168338257629</v>
      </c>
      <c r="H38" s="16">
        <v>56</v>
      </c>
      <c r="I38" s="16">
        <v>55</v>
      </c>
      <c r="J38" s="16">
        <f>AVERAGE(H38:I38)</f>
        <v>55.5</v>
      </c>
      <c r="K38" s="16">
        <v>1000</v>
      </c>
      <c r="L38" s="15">
        <f>LOG10(K38*100*J38/F38*1000)</f>
        <v>7.9884181274501849</v>
      </c>
      <c r="M38" s="17">
        <f>(J38*K38)/(D38*E38)</f>
        <v>0.89516129032258063</v>
      </c>
      <c r="N38" s="18">
        <f>J38*K38/(D38*E38-(J38*K38))</f>
        <v>8.5384615384615383</v>
      </c>
      <c r="O38" s="18">
        <f>dose!$H$28</f>
        <v>1.4093264248704662</v>
      </c>
      <c r="P38" s="23">
        <f>N38/O38</f>
        <v>6.0585407239819009</v>
      </c>
      <c r="R38" s="29">
        <v>36</v>
      </c>
      <c r="S38">
        <v>33</v>
      </c>
      <c r="T38">
        <f>AVERAGE(R38:S38)</f>
        <v>34.5</v>
      </c>
      <c r="U38" s="30">
        <v>1000</v>
      </c>
      <c r="V38" s="47">
        <f>LOG10(U38*100*T38/F38*1000)</f>
        <v>7.7819442394007829</v>
      </c>
      <c r="W38" s="33">
        <v>28</v>
      </c>
      <c r="X38" s="16">
        <v>29</v>
      </c>
      <c r="Y38" s="40">
        <f>AVERAGE(W38:X38)</f>
        <v>28.5</v>
      </c>
      <c r="Z38" s="34">
        <v>1000</v>
      </c>
      <c r="AC38" s="16"/>
      <c r="AD38" s="16"/>
      <c r="AE38" s="16"/>
      <c r="AF38" s="16"/>
      <c r="AG38" s="45"/>
    </row>
    <row r="39" spans="1:33" x14ac:dyDescent="0.2">
      <c r="A39" s="14" t="s">
        <v>48</v>
      </c>
      <c r="B39">
        <v>40</v>
      </c>
      <c r="C39">
        <v>42</v>
      </c>
      <c r="D39">
        <f>AVERAGE(B39:C39)</f>
        <v>41</v>
      </c>
      <c r="E39" s="14">
        <v>1000</v>
      </c>
      <c r="F39" s="14">
        <f>1663.4-1637.8</f>
        <v>25.600000000000136</v>
      </c>
      <c r="G39" s="15">
        <f>LOG10(D39*100*E39/F39*1000)</f>
        <v>8.2045438914078836</v>
      </c>
      <c r="H39" s="16">
        <v>30</v>
      </c>
      <c r="I39" s="16">
        <v>35</v>
      </c>
      <c r="J39" s="16">
        <f>AVERAGE(H39:I39)</f>
        <v>32.5</v>
      </c>
      <c r="K39" s="16">
        <v>1000</v>
      </c>
      <c r="L39" s="15">
        <f t="shared" ref="L39:L42" si="30">LOG10(K39*100*J39/F39*1000)</f>
        <v>8.1036433956670226</v>
      </c>
      <c r="M39" s="17">
        <f>(J39*K39)/(D39*E39)</f>
        <v>0.79268292682926833</v>
      </c>
      <c r="N39" s="18">
        <f>J39*K39/(D39*E39-(J39*K39))</f>
        <v>3.8235294117647061</v>
      </c>
      <c r="O39" s="18">
        <f>dose!$H$28</f>
        <v>1.4093264248704662</v>
      </c>
      <c r="P39" s="23">
        <f t="shared" ref="P39:P42" si="31">N39/O39</f>
        <v>2.7130190311418687</v>
      </c>
      <c r="R39" s="31"/>
      <c r="S39" s="6"/>
      <c r="T39" s="6" t="e">
        <f>AVERAGE(R39:S39)</f>
        <v>#DIV/0!</v>
      </c>
      <c r="U39" s="32"/>
      <c r="V39" s="48" t="e">
        <f t="shared" ref="V39" si="32">LOG10(U39*100*T39/F39*1000)</f>
        <v>#DIV/0!</v>
      </c>
      <c r="W39" s="35"/>
      <c r="X39" s="36"/>
      <c r="Y39" s="41" t="e">
        <f>AVERAGE(W39:X39)</f>
        <v>#DIV/0!</v>
      </c>
      <c r="Z39" s="37"/>
      <c r="AC39" s="16"/>
      <c r="AD39" s="16"/>
      <c r="AE39" s="16"/>
      <c r="AF39" s="16"/>
      <c r="AG39" s="45"/>
    </row>
    <row r="40" spans="1:33" x14ac:dyDescent="0.2">
      <c r="A40" s="14" t="s">
        <v>51</v>
      </c>
      <c r="B40">
        <v>22</v>
      </c>
      <c r="C40">
        <v>13</v>
      </c>
      <c r="D40">
        <f>AVERAGE(B40:C40)</f>
        <v>17.5</v>
      </c>
      <c r="E40" s="14">
        <v>1000</v>
      </c>
      <c r="F40" s="14">
        <f>1791.9-1766.4</f>
        <v>25.5</v>
      </c>
      <c r="G40" s="15">
        <f t="shared" ref="G40:G42" si="33">LOG10(D40*100*E40/F40*1000)</f>
        <v>7.836497868252339</v>
      </c>
      <c r="H40" s="16">
        <v>6</v>
      </c>
      <c r="I40" s="16">
        <v>10</v>
      </c>
      <c r="J40" s="16">
        <f>AVERAGE(H40:I40)</f>
        <v>8</v>
      </c>
      <c r="K40" s="16">
        <v>1000</v>
      </c>
      <c r="L40" s="15">
        <f t="shared" si="30"/>
        <v>7.4965498065579883</v>
      </c>
      <c r="M40" s="17">
        <f>(J40*K40)/(D40*E40)</f>
        <v>0.45714285714285713</v>
      </c>
      <c r="N40" s="18">
        <f>J40*K40/(D40*E40-(J40*K40))</f>
        <v>0.84210526315789469</v>
      </c>
      <c r="O40" s="18">
        <f>dose!$H$28</f>
        <v>1.4093264248704662</v>
      </c>
      <c r="P40" s="23">
        <f>N40/O40</f>
        <v>0.5975232198142415</v>
      </c>
      <c r="AC40" s="16"/>
      <c r="AD40" s="16"/>
      <c r="AE40" s="16"/>
      <c r="AF40" s="16"/>
      <c r="AG40" s="45"/>
    </row>
    <row r="41" spans="1:33" x14ac:dyDescent="0.2">
      <c r="A41" s="14" t="s">
        <v>49</v>
      </c>
      <c r="B41">
        <v>58</v>
      </c>
      <c r="C41">
        <v>39</v>
      </c>
      <c r="D41">
        <f>AVERAGE(B41:C41)</f>
        <v>48.5</v>
      </c>
      <c r="E41" s="14">
        <v>1000</v>
      </c>
      <c r="F41" s="14">
        <f>1693.6-1668</f>
        <v>25.599999999999909</v>
      </c>
      <c r="G41" s="15">
        <f t="shared" si="33"/>
        <v>8.2775017732904157</v>
      </c>
      <c r="H41" s="16">
        <v>49</v>
      </c>
      <c r="I41" s="16">
        <v>40</v>
      </c>
      <c r="J41" s="16">
        <f>AVERAGE(H41:I41)</f>
        <v>44.5</v>
      </c>
      <c r="K41" s="16">
        <v>1000</v>
      </c>
      <c r="L41" s="15">
        <f t="shared" si="30"/>
        <v>8.2401200456690837</v>
      </c>
      <c r="M41" s="17">
        <f>(J41*K41)/(D41*E41)</f>
        <v>0.91752577319587625</v>
      </c>
      <c r="N41" s="18">
        <f>J41*K41/(D41*E41-(J41*K41))</f>
        <v>11.125</v>
      </c>
      <c r="O41" s="18">
        <f>dose!$H$28</f>
        <v>1.4093264248704662</v>
      </c>
      <c r="P41" s="23">
        <f t="shared" si="31"/>
        <v>7.8938419117647065</v>
      </c>
      <c r="AC41" s="16"/>
      <c r="AD41" s="16"/>
      <c r="AE41" s="16"/>
      <c r="AF41" s="16"/>
      <c r="AG41" s="45"/>
    </row>
    <row r="42" spans="1:33" x14ac:dyDescent="0.2">
      <c r="A42" s="14" t="s">
        <v>50</v>
      </c>
      <c r="B42">
        <v>90</v>
      </c>
      <c r="C42">
        <v>88</v>
      </c>
      <c r="D42">
        <f>AVERAGE(B42:C42)</f>
        <v>89</v>
      </c>
      <c r="E42" s="14">
        <v>10</v>
      </c>
      <c r="F42" s="14">
        <f>1849.4-1768.3</f>
        <v>81.100000000000136</v>
      </c>
      <c r="G42" s="15">
        <f t="shared" si="33"/>
        <v>6.0403691524337564</v>
      </c>
      <c r="H42" s="16">
        <v>53</v>
      </c>
      <c r="I42" s="16">
        <v>48</v>
      </c>
      <c r="J42" s="16">
        <f>AVERAGE(H42:I42)</f>
        <v>50.5</v>
      </c>
      <c r="K42" s="16">
        <v>10</v>
      </c>
      <c r="L42" s="15">
        <f t="shared" si="30"/>
        <v>5.794270523907505</v>
      </c>
      <c r="M42" s="17">
        <f>(J42*K42)/(D42*E42)</f>
        <v>0.56741573033707871</v>
      </c>
      <c r="N42" s="18">
        <f>J42*K42/(D42*E42-(J42*K42))</f>
        <v>1.3116883116883118</v>
      </c>
      <c r="O42" s="18">
        <f>dose!$H$28</f>
        <v>1.4093264248704662</v>
      </c>
      <c r="P42" s="23">
        <f t="shared" si="31"/>
        <v>0.93072001527883896</v>
      </c>
      <c r="AC42">
        <v>53</v>
      </c>
      <c r="AD42">
        <v>60</v>
      </c>
      <c r="AE42" s="16">
        <f>AVERAGE(AC42:AD42)</f>
        <v>56.5</v>
      </c>
      <c r="AF42">
        <v>10</v>
      </c>
      <c r="AG42" s="47">
        <f>LOG10(AE42*AF42*100/F42*1000)</f>
        <v>5.8430275936082818</v>
      </c>
    </row>
    <row r="44" spans="1:33" ht="68" x14ac:dyDescent="0.2">
      <c r="A44" s="10" t="s">
        <v>64</v>
      </c>
      <c r="B44" s="67" t="s">
        <v>53</v>
      </c>
      <c r="C44" s="67"/>
      <c r="D44" s="11" t="s">
        <v>42</v>
      </c>
      <c r="E44" s="11" t="s">
        <v>43</v>
      </c>
      <c r="F44" s="11" t="s">
        <v>44</v>
      </c>
      <c r="G44" s="12" t="s">
        <v>45</v>
      </c>
      <c r="H44" s="67" t="s">
        <v>63</v>
      </c>
      <c r="I44" s="67"/>
      <c r="J44" s="11" t="s">
        <v>42</v>
      </c>
      <c r="K44" s="11" t="s">
        <v>43</v>
      </c>
      <c r="L44" s="12" t="s">
        <v>96</v>
      </c>
      <c r="M44" s="13" t="s">
        <v>65</v>
      </c>
      <c r="N44" s="20" t="s">
        <v>77</v>
      </c>
      <c r="O44" s="20" t="s">
        <v>78</v>
      </c>
      <c r="P44" s="12" t="s">
        <v>72</v>
      </c>
      <c r="R44" s="68" t="s">
        <v>86</v>
      </c>
      <c r="S44" s="69"/>
      <c r="T44" s="27" t="s">
        <v>42</v>
      </c>
      <c r="U44" s="28" t="s">
        <v>43</v>
      </c>
      <c r="V44" s="38" t="s">
        <v>45</v>
      </c>
      <c r="W44" s="68" t="s">
        <v>89</v>
      </c>
      <c r="X44" s="69"/>
      <c r="Y44" s="39" t="s">
        <v>42</v>
      </c>
      <c r="Z44" s="28" t="s">
        <v>43</v>
      </c>
      <c r="AC44" s="67" t="s">
        <v>93</v>
      </c>
      <c r="AD44" s="67"/>
      <c r="AE44" s="11" t="s">
        <v>42</v>
      </c>
      <c r="AF44" s="11" t="s">
        <v>43</v>
      </c>
      <c r="AG44" s="12" t="s">
        <v>94</v>
      </c>
    </row>
    <row r="45" spans="1:33" x14ac:dyDescent="0.2">
      <c r="A45" s="14" t="s">
        <v>47</v>
      </c>
      <c r="B45">
        <v>44</v>
      </c>
      <c r="C45">
        <v>41</v>
      </c>
      <c r="D45">
        <f>AVERAGE(B45:C45)</f>
        <v>42.5</v>
      </c>
      <c r="E45" s="14">
        <v>1000</v>
      </c>
      <c r="F45" s="14">
        <f>1790.3-1770.8</f>
        <v>19.5</v>
      </c>
      <c r="G45" s="15">
        <f>LOG10(D45*100*E45/F45*1000)</f>
        <v>8.3383543186877933</v>
      </c>
      <c r="H45" s="16">
        <v>21</v>
      </c>
      <c r="I45" s="16">
        <v>20</v>
      </c>
      <c r="J45" s="16">
        <f>AVERAGE(H45:I45)</f>
        <v>20.5</v>
      </c>
      <c r="K45" s="16">
        <v>1000</v>
      </c>
      <c r="L45" s="15">
        <f>LOG10(K45*100*J45/F45*1000)</f>
        <v>8.0217192496932359</v>
      </c>
      <c r="M45" s="17">
        <f>(J45*K45)/(D45*E45)</f>
        <v>0.4823529411764706</v>
      </c>
      <c r="N45" s="18">
        <f>J45*K45/(D45*E45-(J45*K45))</f>
        <v>0.93181818181818177</v>
      </c>
      <c r="O45" s="18">
        <f>dose!$H$28</f>
        <v>1.4093264248704662</v>
      </c>
      <c r="P45" s="23">
        <f>N45/O45</f>
        <v>0.66117981283422456</v>
      </c>
      <c r="R45" s="29">
        <v>10</v>
      </c>
      <c r="S45">
        <v>6</v>
      </c>
      <c r="T45">
        <f>AVERAGE(R45:S45)</f>
        <v>8</v>
      </c>
      <c r="U45" s="30">
        <v>1000</v>
      </c>
      <c r="V45" s="47">
        <f>LOG10(U45*100*T45/F45*1000)</f>
        <v>7.6130553756294255</v>
      </c>
      <c r="W45" s="33">
        <v>3</v>
      </c>
      <c r="X45" s="16">
        <v>4</v>
      </c>
      <c r="Y45" s="40">
        <f>AVERAGE(W45:X45)</f>
        <v>3.5</v>
      </c>
      <c r="Z45" s="34">
        <v>1000</v>
      </c>
      <c r="AC45" s="16"/>
      <c r="AD45" s="16"/>
      <c r="AE45" s="16"/>
      <c r="AF45" s="16"/>
      <c r="AG45" s="45"/>
    </row>
    <row r="46" spans="1:33" x14ac:dyDescent="0.2">
      <c r="A46" s="14" t="s">
        <v>48</v>
      </c>
      <c r="B46">
        <v>26</v>
      </c>
      <c r="C46">
        <v>29</v>
      </c>
      <c r="D46">
        <f>AVERAGE(B46:C46)</f>
        <v>27.5</v>
      </c>
      <c r="E46" s="14">
        <v>1000</v>
      </c>
      <c r="F46" s="14">
        <f>1703.4-1694.2</f>
        <v>9.2000000000000455</v>
      </c>
      <c r="G46" s="15">
        <f>LOG10(D46*100*E46/F46*1000)</f>
        <v>8.4755448664847055</v>
      </c>
      <c r="H46" s="16">
        <v>9</v>
      </c>
      <c r="I46" s="16">
        <v>15</v>
      </c>
      <c r="J46" s="16">
        <f>AVERAGE(H46:I46)</f>
        <v>12</v>
      </c>
      <c r="K46" s="16">
        <v>1000</v>
      </c>
      <c r="L46" s="15">
        <f t="shared" ref="L46:L49" si="34">LOG10(K46*100*J46/F46*1000)</f>
        <v>8.1153934187020678</v>
      </c>
      <c r="M46" s="17">
        <f>(J46*K46)/(D46*E46)</f>
        <v>0.43636363636363634</v>
      </c>
      <c r="N46" s="18">
        <f>J46*K46/(D46*E46-(J46*K46))</f>
        <v>0.77419354838709675</v>
      </c>
      <c r="O46" s="18">
        <f>dose!$H$28</f>
        <v>1.4093264248704662</v>
      </c>
      <c r="P46" s="23">
        <f t="shared" ref="P46" si="35">N46/O46</f>
        <v>0.54933586337760909</v>
      </c>
      <c r="R46" s="31">
        <v>13</v>
      </c>
      <c r="S46" s="6">
        <v>10</v>
      </c>
      <c r="T46" s="6">
        <f>AVERAGE(R46:S46)</f>
        <v>11.5</v>
      </c>
      <c r="U46" s="32">
        <v>100</v>
      </c>
      <c r="V46" s="48">
        <f t="shared" ref="V46" si="36">LOG10(U46*100*T46/F46*1000)</f>
        <v>7.0969100130080545</v>
      </c>
      <c r="W46" s="35">
        <v>10</v>
      </c>
      <c r="X46" s="36">
        <v>13</v>
      </c>
      <c r="Y46" s="41">
        <f>AVERAGE(W46:X46)</f>
        <v>11.5</v>
      </c>
      <c r="Z46" s="37">
        <v>100</v>
      </c>
      <c r="AC46" s="16"/>
      <c r="AD46" s="16"/>
      <c r="AE46" s="16"/>
      <c r="AF46" s="16"/>
      <c r="AG46" s="45"/>
    </row>
    <row r="47" spans="1:33" x14ac:dyDescent="0.2">
      <c r="A47" s="14" t="s">
        <v>51</v>
      </c>
      <c r="B47">
        <v>61</v>
      </c>
      <c r="C47">
        <v>58</v>
      </c>
      <c r="D47">
        <f>AVERAGE(B47:C47)</f>
        <v>59.5</v>
      </c>
      <c r="E47" s="14">
        <v>1000</v>
      </c>
      <c r="F47" s="14">
        <f>1697.1-1681.2</f>
        <v>15.899999999999864</v>
      </c>
      <c r="G47" s="15">
        <f t="shared" ref="G47:G49" si="37">LOG10(D47*100*E47/F47*1000)</f>
        <v>8.5731198414081025</v>
      </c>
      <c r="H47" s="16">
        <v>51</v>
      </c>
      <c r="I47" s="16">
        <v>45</v>
      </c>
      <c r="J47" s="16">
        <f>AVERAGE(H47:I47)</f>
        <v>48</v>
      </c>
      <c r="K47" s="16">
        <v>1000</v>
      </c>
      <c r="L47" s="15">
        <f t="shared" si="34"/>
        <v>8.4798441130551403</v>
      </c>
      <c r="M47" s="17">
        <f>(J47*K47)/(D47*E47)</f>
        <v>0.80672268907563027</v>
      </c>
      <c r="N47" s="18">
        <f>J47*K47/(D47*E47-(J47*K47))</f>
        <v>4.1739130434782608</v>
      </c>
      <c r="O47" s="18">
        <f>dose!$H$28</f>
        <v>1.4093264248704662</v>
      </c>
      <c r="P47" s="23">
        <f>N47/O47</f>
        <v>2.9616368286445014</v>
      </c>
      <c r="AC47" s="16"/>
      <c r="AD47" s="16"/>
      <c r="AE47" s="16"/>
      <c r="AF47" s="16"/>
      <c r="AG47" s="45"/>
    </row>
    <row r="48" spans="1:33" x14ac:dyDescent="0.2">
      <c r="A48" s="14" t="s">
        <v>49</v>
      </c>
      <c r="B48">
        <v>36</v>
      </c>
      <c r="C48">
        <v>30</v>
      </c>
      <c r="D48">
        <f>AVERAGE(B48:C48)</f>
        <v>33</v>
      </c>
      <c r="E48" s="14">
        <v>1000</v>
      </c>
      <c r="F48" s="14">
        <f>1796.7-1755.4</f>
        <v>41.299999999999955</v>
      </c>
      <c r="G48" s="15">
        <f t="shared" si="37"/>
        <v>7.9025638882214873</v>
      </c>
      <c r="H48" s="16">
        <v>21</v>
      </c>
      <c r="I48" s="16">
        <v>21</v>
      </c>
      <c r="J48" s="16">
        <f>AVERAGE(H48:I48)</f>
        <v>21</v>
      </c>
      <c r="K48" s="16">
        <v>1000</v>
      </c>
      <c r="L48" s="15">
        <f t="shared" si="34"/>
        <v>7.7062692430775188</v>
      </c>
      <c r="M48" s="17">
        <f>(J48*K48)/(D48*E48)</f>
        <v>0.63636363636363635</v>
      </c>
      <c r="N48" s="18">
        <f>J48*K48/(D48*E48-(J48*K48))</f>
        <v>1.75</v>
      </c>
      <c r="O48" s="18">
        <f>dose!$H$28</f>
        <v>1.4093264248704662</v>
      </c>
      <c r="P48" s="23">
        <f t="shared" ref="P48:P49" si="38">N48/O48</f>
        <v>1.2417279411764708</v>
      </c>
      <c r="AC48" s="16"/>
      <c r="AD48" s="16"/>
      <c r="AE48" s="16"/>
      <c r="AF48" s="16"/>
      <c r="AG48" s="45"/>
    </row>
    <row r="49" spans="1:33" x14ac:dyDescent="0.2">
      <c r="A49" s="14" t="s">
        <v>50</v>
      </c>
      <c r="B49">
        <v>51</v>
      </c>
      <c r="C49">
        <v>49</v>
      </c>
      <c r="D49">
        <f>AVERAGE(B49:C49)</f>
        <v>50</v>
      </c>
      <c r="E49" s="14">
        <v>100</v>
      </c>
      <c r="F49" s="14">
        <f>1936.3-1832.6</f>
        <v>103.70000000000005</v>
      </c>
      <c r="G49" s="15">
        <f t="shared" si="37"/>
        <v>6.6831912479469775</v>
      </c>
      <c r="H49" s="16">
        <v>41</v>
      </c>
      <c r="I49" s="16">
        <v>36</v>
      </c>
      <c r="J49" s="16">
        <f>AVERAGE(H49:I49)</f>
        <v>38.5</v>
      </c>
      <c r="K49" s="16">
        <v>100</v>
      </c>
      <c r="L49" s="15">
        <f t="shared" si="34"/>
        <v>6.5696819731194598</v>
      </c>
      <c r="M49" s="17">
        <f>(J49*K49)/(D49*E49)</f>
        <v>0.77</v>
      </c>
      <c r="N49" s="18">
        <f>J49*K49/(D49*E49-(J49*K49))</f>
        <v>3.347826086956522</v>
      </c>
      <c r="O49" s="18">
        <f>dose!$H$28</f>
        <v>1.4093264248704662</v>
      </c>
      <c r="P49" s="23">
        <f t="shared" si="38"/>
        <v>2.3754795396419439</v>
      </c>
      <c r="AC49">
        <v>35</v>
      </c>
      <c r="AD49">
        <v>38</v>
      </c>
      <c r="AE49" s="16">
        <f>AVERAGE(AC49:AD49)</f>
        <v>36.5</v>
      </c>
      <c r="AF49">
        <v>10</v>
      </c>
      <c r="AG49" s="47">
        <f>LOG10(AE49*AF49*100/F49*1000)</f>
        <v>5.5465141080674334</v>
      </c>
    </row>
    <row r="51" spans="1:33" ht="68" x14ac:dyDescent="0.2">
      <c r="A51" s="10" t="s">
        <v>66</v>
      </c>
      <c r="B51" s="67" t="s">
        <v>53</v>
      </c>
      <c r="C51" s="67"/>
      <c r="D51" s="11" t="s">
        <v>42</v>
      </c>
      <c r="E51" s="11" t="s">
        <v>43</v>
      </c>
      <c r="F51" s="11" t="s">
        <v>44</v>
      </c>
      <c r="G51" s="12" t="s">
        <v>45</v>
      </c>
      <c r="H51" s="67" t="s">
        <v>63</v>
      </c>
      <c r="I51" s="67"/>
      <c r="J51" s="11" t="s">
        <v>42</v>
      </c>
      <c r="K51" s="11" t="s">
        <v>43</v>
      </c>
      <c r="L51" s="12" t="s">
        <v>96</v>
      </c>
      <c r="M51" s="13" t="s">
        <v>65</v>
      </c>
      <c r="N51" s="20" t="s">
        <v>77</v>
      </c>
      <c r="O51" s="20" t="s">
        <v>78</v>
      </c>
      <c r="P51" s="12" t="s">
        <v>72</v>
      </c>
      <c r="R51" s="68" t="s">
        <v>86</v>
      </c>
      <c r="S51" s="69"/>
      <c r="T51" s="27" t="s">
        <v>42</v>
      </c>
      <c r="U51" s="28" t="s">
        <v>43</v>
      </c>
      <c r="V51" s="38" t="s">
        <v>45</v>
      </c>
      <c r="W51" s="68" t="s">
        <v>89</v>
      </c>
      <c r="X51" s="69"/>
      <c r="Y51" s="39" t="s">
        <v>42</v>
      </c>
      <c r="Z51" s="28" t="s">
        <v>43</v>
      </c>
      <c r="AC51" s="67" t="s">
        <v>93</v>
      </c>
      <c r="AD51" s="67"/>
      <c r="AE51" s="11" t="s">
        <v>42</v>
      </c>
      <c r="AF51" s="11" t="s">
        <v>43</v>
      </c>
      <c r="AG51" s="12" t="s">
        <v>94</v>
      </c>
    </row>
    <row r="52" spans="1:33" x14ac:dyDescent="0.2">
      <c r="A52" s="14" t="s">
        <v>47</v>
      </c>
      <c r="B52">
        <v>161</v>
      </c>
      <c r="C52">
        <v>149</v>
      </c>
      <c r="D52">
        <f>AVERAGE(B52:C52)</f>
        <v>155</v>
      </c>
      <c r="E52" s="14">
        <v>100</v>
      </c>
      <c r="F52" s="14">
        <f>1881.6-1868.1</f>
        <v>13.5</v>
      </c>
      <c r="G52" s="15">
        <f>LOG10(D52*100*E52/F52*1000)</f>
        <v>8.0599979296752853</v>
      </c>
      <c r="H52" s="16">
        <v>56</v>
      </c>
      <c r="I52" s="16">
        <v>54</v>
      </c>
      <c r="J52" s="16">
        <f>AVERAGE(H52:I52)</f>
        <v>55</v>
      </c>
      <c r="K52" s="16">
        <v>100</v>
      </c>
      <c r="L52" s="15">
        <f>LOG10(K52*100*J52/F52*1000)</f>
        <v>7.6100289209992376</v>
      </c>
      <c r="M52" s="17">
        <f>(J52*K52)/(D52*E52)</f>
        <v>0.35483870967741937</v>
      </c>
      <c r="N52" s="18">
        <f>J52*K52/(D52*E52-(J52*K52))</f>
        <v>0.55000000000000004</v>
      </c>
      <c r="O52" s="18">
        <f>dose!$H$28</f>
        <v>1.4093264248704662</v>
      </c>
      <c r="P52" s="23">
        <f>N52/O52</f>
        <v>0.39025735294117653</v>
      </c>
      <c r="R52" s="29">
        <v>116</v>
      </c>
      <c r="S52">
        <v>129</v>
      </c>
      <c r="T52">
        <f>AVERAGE(R52:S52)</f>
        <v>122.5</v>
      </c>
      <c r="U52" s="30">
        <v>100</v>
      </c>
      <c r="V52" s="47">
        <f>LOG10(U52*100*T52/F52*1000)</f>
        <v>7.9578023202055448</v>
      </c>
      <c r="W52" s="33">
        <v>48</v>
      </c>
      <c r="X52" s="16">
        <v>52</v>
      </c>
      <c r="Y52" s="40">
        <f>AVERAGE(W52:X52)</f>
        <v>50</v>
      </c>
      <c r="Z52" s="34">
        <v>100</v>
      </c>
      <c r="AC52" s="16"/>
      <c r="AD52" s="16"/>
      <c r="AE52" s="16"/>
      <c r="AF52" s="16"/>
      <c r="AG52" s="45"/>
    </row>
    <row r="53" spans="1:33" x14ac:dyDescent="0.2">
      <c r="A53" s="14" t="s">
        <v>48</v>
      </c>
      <c r="B53">
        <v>18</v>
      </c>
      <c r="C53">
        <v>17</v>
      </c>
      <c r="D53">
        <f>AVERAGE(B53:C53)</f>
        <v>17.5</v>
      </c>
      <c r="E53" s="14">
        <v>10000</v>
      </c>
      <c r="F53" s="14">
        <f>1723-1698.7</f>
        <v>24.299999999999955</v>
      </c>
      <c r="G53" s="15">
        <f>LOG10(D53*100*E53/F53*1000)</f>
        <v>8.8574317750879832</v>
      </c>
      <c r="H53" s="16">
        <v>9</v>
      </c>
      <c r="I53" s="16">
        <v>4</v>
      </c>
      <c r="J53" s="16">
        <f>AVERAGE(H53:I53)</f>
        <v>6.5</v>
      </c>
      <c r="K53" s="16">
        <v>10000</v>
      </c>
      <c r="L53" s="15">
        <f t="shared" ref="L53:L56" si="39">LOG10(K53*100*J53/F53*1000)</f>
        <v>8.4273070830445445</v>
      </c>
      <c r="M53" s="17">
        <f>(J53*K53)/(D53*E53)</f>
        <v>0.37142857142857144</v>
      </c>
      <c r="N53" s="18">
        <f>J53*K53/(D53*E53-(J53*K53))</f>
        <v>0.59090909090909094</v>
      </c>
      <c r="O53" s="18">
        <f>dose!$H$28</f>
        <v>1.4093264248704662</v>
      </c>
      <c r="P53" s="23">
        <f t="shared" ref="P53" si="40">N53/O53</f>
        <v>0.41928475935828879</v>
      </c>
      <c r="R53" s="31"/>
      <c r="S53" s="6"/>
      <c r="T53" s="6" t="e">
        <f>AVERAGE(R53:S53)</f>
        <v>#DIV/0!</v>
      </c>
      <c r="U53" s="32"/>
      <c r="V53" s="48" t="e">
        <f t="shared" ref="V53" si="41">LOG10(U53*100*T53/F53*1000)</f>
        <v>#DIV/0!</v>
      </c>
      <c r="W53" s="35"/>
      <c r="X53" s="36"/>
      <c r="Y53" s="41" t="e">
        <f>AVERAGE(W53:X53)</f>
        <v>#DIV/0!</v>
      </c>
      <c r="Z53" s="37"/>
      <c r="AC53" s="16"/>
      <c r="AD53" s="16"/>
      <c r="AE53" s="16"/>
      <c r="AF53" s="16"/>
      <c r="AG53" s="45"/>
    </row>
    <row r="54" spans="1:33" x14ac:dyDescent="0.2">
      <c r="A54" s="14" t="s">
        <v>51</v>
      </c>
      <c r="B54">
        <v>107</v>
      </c>
      <c r="C54">
        <v>90</v>
      </c>
      <c r="D54">
        <f>AVERAGE(B54:C54)</f>
        <v>98.5</v>
      </c>
      <c r="E54" s="14">
        <v>1000</v>
      </c>
      <c r="F54" s="14">
        <f>1728.4-1706.7</f>
        <v>21.700000000000045</v>
      </c>
      <c r="G54" s="15">
        <f t="shared" ref="G54:G56" si="42">LOG10(D54*100*E54/F54*1000)</f>
        <v>8.6569764966490812</v>
      </c>
      <c r="H54" s="16">
        <v>41</v>
      </c>
      <c r="I54" s="16">
        <v>24</v>
      </c>
      <c r="J54" s="16">
        <f>AVERAGE(H54:I54)</f>
        <v>32.5</v>
      </c>
      <c r="K54" s="16">
        <v>1000</v>
      </c>
      <c r="L54" s="15">
        <f t="shared" si="39"/>
        <v>8.1754236271303444</v>
      </c>
      <c r="M54" s="17">
        <f>(J54*K54)/(D54*E54)</f>
        <v>0.32994923857868019</v>
      </c>
      <c r="N54" s="18">
        <f>J54*K54/(D54*E54-(J54*K54))</f>
        <v>0.49242424242424243</v>
      </c>
      <c r="O54" s="18">
        <f>dose!$H$28</f>
        <v>1.4093264248704662</v>
      </c>
      <c r="P54" s="23">
        <f>N54/O54</f>
        <v>0.34940396613190733</v>
      </c>
      <c r="AC54" s="16"/>
      <c r="AD54" s="16"/>
      <c r="AE54" s="16"/>
      <c r="AF54" s="16"/>
      <c r="AG54" s="45"/>
    </row>
    <row r="55" spans="1:33" x14ac:dyDescent="0.2">
      <c r="A55" s="14" t="s">
        <v>49</v>
      </c>
      <c r="B55">
        <v>29</v>
      </c>
      <c r="C55">
        <v>29</v>
      </c>
      <c r="D55">
        <f>AVERAGE(B55:C55)</f>
        <v>29</v>
      </c>
      <c r="E55" s="14">
        <v>1000</v>
      </c>
      <c r="F55" s="14">
        <f>1788.1-1769.1</f>
        <v>19</v>
      </c>
      <c r="G55" s="15">
        <f t="shared" si="42"/>
        <v>8.1836443969461268</v>
      </c>
      <c r="H55" s="16">
        <v>14</v>
      </c>
      <c r="I55" s="16">
        <v>9</v>
      </c>
      <c r="J55" s="16">
        <f>AVERAGE(H55:I55)</f>
        <v>11.5</v>
      </c>
      <c r="K55" s="16">
        <v>1000</v>
      </c>
      <c r="L55" s="15">
        <f t="shared" si="39"/>
        <v>7.7819442394007829</v>
      </c>
      <c r="M55" s="17">
        <f>(J55*K55)/(D55*E55)</f>
        <v>0.39655172413793105</v>
      </c>
      <c r="N55" s="18">
        <f>J55*K55/(D55*E55-(J55*K55))</f>
        <v>0.65714285714285714</v>
      </c>
      <c r="O55" s="18">
        <f>dose!$H$28</f>
        <v>1.4093264248704662</v>
      </c>
      <c r="P55" s="23">
        <f t="shared" ref="P55:P56" si="43">N55/O55</f>
        <v>0.46628151260504203</v>
      </c>
      <c r="AC55" s="16"/>
      <c r="AD55" s="16"/>
      <c r="AE55" s="16"/>
      <c r="AF55" s="16"/>
      <c r="AG55" s="45"/>
    </row>
    <row r="56" spans="1:33" x14ac:dyDescent="0.2">
      <c r="A56" s="14" t="s">
        <v>50</v>
      </c>
      <c r="B56">
        <v>39</v>
      </c>
      <c r="C56">
        <v>34</v>
      </c>
      <c r="D56">
        <f>AVERAGE(B56:C56)</f>
        <v>36.5</v>
      </c>
      <c r="E56" s="14">
        <v>100</v>
      </c>
      <c r="F56" s="14">
        <f>1753.8-1697</f>
        <v>56.799999999999955</v>
      </c>
      <c r="G56" s="15">
        <f t="shared" si="42"/>
        <v>6.8079445287454563</v>
      </c>
      <c r="H56" s="16">
        <v>14</v>
      </c>
      <c r="I56" s="16">
        <v>13</v>
      </c>
      <c r="J56" s="16">
        <f>AVERAGE(H56:I56)</f>
        <v>13.5</v>
      </c>
      <c r="K56" s="16">
        <v>100</v>
      </c>
      <c r="L56" s="15">
        <f t="shared" si="39"/>
        <v>6.3759854327839873</v>
      </c>
      <c r="M56" s="17">
        <f>(J56*K56)/(D56*E56)</f>
        <v>0.36986301369863012</v>
      </c>
      <c r="N56" s="18">
        <f>J56*K56/(D56*E56-(J56*K56))</f>
        <v>0.58695652173913049</v>
      </c>
      <c r="O56" s="18">
        <f>dose!$H$28</f>
        <v>1.4093264248704662</v>
      </c>
      <c r="P56" s="23">
        <f t="shared" si="43"/>
        <v>0.41648017902813306</v>
      </c>
      <c r="AC56">
        <v>16</v>
      </c>
      <c r="AD56">
        <v>18</v>
      </c>
      <c r="AE56" s="16">
        <f>AVERAGE(AC56:AD56)</f>
        <v>17</v>
      </c>
      <c r="AF56">
        <v>100</v>
      </c>
      <c r="AG56" s="47">
        <f>LOG10(AE56*AF56*100/F56*1000)</f>
        <v>6.4761005856672558</v>
      </c>
    </row>
    <row r="58" spans="1:33" ht="51" customHeight="1" x14ac:dyDescent="0.2">
      <c r="A58" s="10" t="s">
        <v>67</v>
      </c>
      <c r="B58" s="67" t="s">
        <v>53</v>
      </c>
      <c r="C58" s="67"/>
      <c r="D58" s="11" t="s">
        <v>42</v>
      </c>
      <c r="E58" s="11" t="s">
        <v>43</v>
      </c>
      <c r="F58" s="11" t="s">
        <v>44</v>
      </c>
      <c r="G58" s="12" t="s">
        <v>45</v>
      </c>
      <c r="H58" s="67" t="s">
        <v>63</v>
      </c>
      <c r="I58" s="67"/>
      <c r="J58" s="11" t="s">
        <v>42</v>
      </c>
      <c r="K58" s="11" t="s">
        <v>43</v>
      </c>
      <c r="L58" s="12" t="s">
        <v>96</v>
      </c>
      <c r="M58" s="13" t="s">
        <v>65</v>
      </c>
      <c r="N58" s="20" t="s">
        <v>77</v>
      </c>
      <c r="O58" s="20" t="s">
        <v>78</v>
      </c>
      <c r="P58" s="12" t="s">
        <v>72</v>
      </c>
      <c r="R58" s="68" t="s">
        <v>86</v>
      </c>
      <c r="S58" s="69"/>
      <c r="T58" s="27" t="s">
        <v>42</v>
      </c>
      <c r="U58" s="28" t="s">
        <v>43</v>
      </c>
      <c r="V58" s="38" t="s">
        <v>45</v>
      </c>
      <c r="W58" s="68" t="s">
        <v>89</v>
      </c>
      <c r="X58" s="69"/>
      <c r="Y58" s="39" t="s">
        <v>42</v>
      </c>
      <c r="Z58" s="28" t="s">
        <v>43</v>
      </c>
      <c r="AC58" s="67" t="s">
        <v>93</v>
      </c>
      <c r="AD58" s="67"/>
      <c r="AE58" s="11" t="s">
        <v>42</v>
      </c>
      <c r="AF58" s="11" t="s">
        <v>43</v>
      </c>
      <c r="AG58" s="12" t="s">
        <v>94</v>
      </c>
    </row>
    <row r="59" spans="1:33" x14ac:dyDescent="0.2">
      <c r="A59" s="14" t="s">
        <v>47</v>
      </c>
      <c r="B59">
        <v>84</v>
      </c>
      <c r="C59">
        <v>75</v>
      </c>
      <c r="D59">
        <f>AVERAGE(B59:C59)</f>
        <v>79.5</v>
      </c>
      <c r="E59" s="14">
        <v>1000</v>
      </c>
      <c r="F59" s="14">
        <f>1751-1694</f>
        <v>57</v>
      </c>
      <c r="G59" s="15">
        <f>LOG10(D59*100*E59/F59*1000)</f>
        <v>8.1444922729839782</v>
      </c>
      <c r="H59" s="16">
        <v>61</v>
      </c>
      <c r="I59" s="16">
        <v>53</v>
      </c>
      <c r="J59" s="16">
        <f>AVERAGE(H59:I59)</f>
        <v>57</v>
      </c>
      <c r="K59" s="16">
        <v>1000</v>
      </c>
      <c r="L59" s="15">
        <f>LOG10(K59*100*J59/F59*1000)</f>
        <v>8</v>
      </c>
      <c r="M59" s="17">
        <f>(J59*K59)/(D59*E59)</f>
        <v>0.71698113207547165</v>
      </c>
      <c r="N59" s="18">
        <f>J59*K59/(D59*E59-(J59*K59))</f>
        <v>2.5333333333333332</v>
      </c>
      <c r="O59" s="18">
        <f>dose!$H$28</f>
        <v>1.4093264248704662</v>
      </c>
      <c r="P59" s="23">
        <f>N59/O59</f>
        <v>1.7975490196078432</v>
      </c>
      <c r="R59" s="29">
        <v>1</v>
      </c>
      <c r="S59">
        <v>2</v>
      </c>
      <c r="T59">
        <f>AVERAGE(R59:S59)</f>
        <v>1.5</v>
      </c>
      <c r="U59" s="30">
        <v>1000</v>
      </c>
      <c r="V59" s="47">
        <f>LOG10(U59*100*T59/F59*1000)</f>
        <v>6.4202164033831899</v>
      </c>
      <c r="W59" s="33">
        <v>5</v>
      </c>
      <c r="X59" s="16">
        <v>3</v>
      </c>
      <c r="Y59" s="40">
        <f>AVERAGE(W59:X59)</f>
        <v>4</v>
      </c>
      <c r="Z59" s="34">
        <v>1000</v>
      </c>
      <c r="AC59" s="16"/>
      <c r="AD59" s="16"/>
      <c r="AE59" s="16"/>
      <c r="AF59" s="16"/>
      <c r="AG59" s="45"/>
    </row>
    <row r="60" spans="1:33" x14ac:dyDescent="0.2">
      <c r="A60" s="14" t="s">
        <v>48</v>
      </c>
      <c r="B60">
        <v>70</v>
      </c>
      <c r="C60">
        <v>60</v>
      </c>
      <c r="D60">
        <f>AVERAGE(B60:C60)</f>
        <v>65</v>
      </c>
      <c r="E60" s="14">
        <v>10000</v>
      </c>
      <c r="F60" s="14">
        <f>1749.3-1693.9</f>
        <v>55.399999999999864</v>
      </c>
      <c r="G60" s="15">
        <f>LOG10(D60*100*E60/F60*1000)</f>
        <v>9.0694035919144262</v>
      </c>
      <c r="H60" s="16">
        <v>67</v>
      </c>
      <c r="I60" s="16">
        <v>65</v>
      </c>
      <c r="J60" s="16">
        <f>AVERAGE(H60:I60)</f>
        <v>66</v>
      </c>
      <c r="K60" s="16">
        <v>10000</v>
      </c>
      <c r="L60" s="15">
        <f t="shared" ref="L60:L62" si="44">LOG10(K60*100*J60/F60*1000)</f>
        <v>9.0760341708134398</v>
      </c>
      <c r="M60" s="17">
        <f>(J60*K60)/(D60*E60)</f>
        <v>1.0153846153846153</v>
      </c>
      <c r="N60" s="22">
        <f>J60*K60/(D60*E60-(J60*K60))</f>
        <v>-66</v>
      </c>
      <c r="O60" s="18">
        <f>dose!$H$28</f>
        <v>1.4093264248704662</v>
      </c>
      <c r="P60" s="24">
        <f t="shared" ref="P60" si="45">N60/O60</f>
        <v>-46.830882352941181</v>
      </c>
      <c r="R60" s="31">
        <v>30</v>
      </c>
      <c r="S60" s="6">
        <v>28</v>
      </c>
      <c r="T60" s="6">
        <f>AVERAGE(R60:S60)</f>
        <v>29</v>
      </c>
      <c r="U60" s="32">
        <v>1000</v>
      </c>
      <c r="V60" s="48">
        <f t="shared" ref="V60" si="46">LOG10(U60*100*T60/F60*1000)</f>
        <v>7.7188882331705271</v>
      </c>
      <c r="W60" s="35">
        <v>32</v>
      </c>
      <c r="X60" s="36">
        <v>46</v>
      </c>
      <c r="Y60" s="41">
        <f>AVERAGE(W60:X60)</f>
        <v>39</v>
      </c>
      <c r="Z60" s="37">
        <v>1000</v>
      </c>
      <c r="AC60" s="16"/>
      <c r="AD60" s="16"/>
      <c r="AE60" s="16"/>
      <c r="AF60" s="16"/>
      <c r="AG60" s="45"/>
    </row>
    <row r="61" spans="1:33" x14ac:dyDescent="0.2">
      <c r="A61" s="14" t="s">
        <v>51</v>
      </c>
      <c r="B61">
        <v>29</v>
      </c>
      <c r="C61">
        <v>27</v>
      </c>
      <c r="D61">
        <f>AVERAGE(B61:C61)</f>
        <v>28</v>
      </c>
      <c r="E61" s="14">
        <v>100000</v>
      </c>
      <c r="F61" s="14">
        <f>1720.8-1643.8</f>
        <v>77</v>
      </c>
      <c r="G61" s="15">
        <f t="shared" ref="G61:G63" si="47">LOG10(D61*100*E61/F61*1000)</f>
        <v>9.5606673061697371</v>
      </c>
      <c r="H61" s="16">
        <v>20</v>
      </c>
      <c r="I61" s="16">
        <v>28</v>
      </c>
      <c r="J61" s="16">
        <f>AVERAGE(H61:I61)</f>
        <v>24</v>
      </c>
      <c r="K61" s="16">
        <v>100000</v>
      </c>
      <c r="L61" s="15">
        <f t="shared" si="44"/>
        <v>9.4937205165391241</v>
      </c>
      <c r="M61" s="17">
        <f>(J61*K61)/(D61*E61)</f>
        <v>0.8571428571428571</v>
      </c>
      <c r="N61" s="18">
        <f>J61*K61/(D61*E61-(J61*K61))</f>
        <v>6</v>
      </c>
      <c r="O61" s="18">
        <f>dose!$H$28</f>
        <v>1.4093264248704662</v>
      </c>
      <c r="P61" s="23">
        <f>N61/O61</f>
        <v>4.257352941176471</v>
      </c>
      <c r="AC61" s="16"/>
      <c r="AD61" s="16"/>
      <c r="AE61" s="16"/>
      <c r="AF61" s="16"/>
      <c r="AG61" s="45"/>
    </row>
    <row r="62" spans="1:33" x14ac:dyDescent="0.2">
      <c r="A62" s="14" t="s">
        <v>49</v>
      </c>
      <c r="B62">
        <v>36</v>
      </c>
      <c r="C62">
        <v>38</v>
      </c>
      <c r="D62">
        <f>AVERAGE(B62:C62)</f>
        <v>37</v>
      </c>
      <c r="E62" s="14">
        <v>10000</v>
      </c>
      <c r="F62" s="14">
        <f>1853.8-1771.6</f>
        <v>82.200000000000045</v>
      </c>
      <c r="G62" s="15">
        <f t="shared" si="47"/>
        <v>8.6533299065269436</v>
      </c>
      <c r="H62" s="16">
        <v>36</v>
      </c>
      <c r="I62" s="16">
        <v>32</v>
      </c>
      <c r="J62" s="16">
        <f>AVERAGE(H62:I62)</f>
        <v>34</v>
      </c>
      <c r="K62" s="16">
        <v>10000</v>
      </c>
      <c r="L62" s="15">
        <f t="shared" si="44"/>
        <v>8.6166070995022039</v>
      </c>
      <c r="M62" s="17">
        <f>(J62*K62)/(D62*E62)</f>
        <v>0.91891891891891897</v>
      </c>
      <c r="N62" s="18">
        <f>J62*K62/(D62*E62-(J62*K62))</f>
        <v>11.333333333333334</v>
      </c>
      <c r="O62" s="18">
        <f>dose!$H$28</f>
        <v>1.4093264248704662</v>
      </c>
      <c r="P62" s="23">
        <f t="shared" ref="P62:P63" si="48">N62/O62</f>
        <v>8.0416666666666679</v>
      </c>
      <c r="AC62" s="16"/>
      <c r="AD62" s="16"/>
      <c r="AE62" s="16"/>
      <c r="AF62" s="16"/>
      <c r="AG62" s="45"/>
    </row>
    <row r="63" spans="1:33" x14ac:dyDescent="0.2">
      <c r="A63" s="14" t="s">
        <v>50</v>
      </c>
      <c r="B63">
        <v>81</v>
      </c>
      <c r="C63">
        <v>73</v>
      </c>
      <c r="D63">
        <f>AVERAGE(B63:C63)</f>
        <v>77</v>
      </c>
      <c r="E63" s="14">
        <v>10</v>
      </c>
      <c r="F63" s="14">
        <f>1692.3-1623.4</f>
        <v>68.899999999999864</v>
      </c>
      <c r="G63" s="15">
        <f t="shared" si="47"/>
        <v>6.0482715032648571</v>
      </c>
      <c r="H63" s="16">
        <v>82</v>
      </c>
      <c r="I63" s="16">
        <v>72</v>
      </c>
      <c r="J63" s="16">
        <f>AVERAGE(H63:I63)</f>
        <v>77</v>
      </c>
      <c r="K63" s="16">
        <v>10</v>
      </c>
      <c r="L63" s="15">
        <f>LOG10(K63*100*J63/F63*1000)</f>
        <v>6.0482715032648571</v>
      </c>
      <c r="M63" s="17">
        <f>(J63*K63)/(D63*E63)</f>
        <v>1</v>
      </c>
      <c r="N63" s="22" t="e">
        <f>J63*K63/(D63*E63-(J63*K63))</f>
        <v>#DIV/0!</v>
      </c>
      <c r="O63" s="18">
        <f>dose!$H$28</f>
        <v>1.4093264248704662</v>
      </c>
      <c r="P63" s="24" t="e">
        <f t="shared" si="48"/>
        <v>#DIV/0!</v>
      </c>
      <c r="AC63">
        <v>12</v>
      </c>
      <c r="AD63">
        <v>8</v>
      </c>
      <c r="AE63" s="16">
        <v>100</v>
      </c>
      <c r="AF63">
        <v>10</v>
      </c>
      <c r="AG63" s="47">
        <f>LOG10(AE63*AF63*100/F63*1000)</f>
        <v>6.1617807780923748</v>
      </c>
    </row>
    <row r="65" spans="1:33" ht="68" x14ac:dyDescent="0.2">
      <c r="A65" s="10" t="s">
        <v>68</v>
      </c>
      <c r="B65" s="67" t="s">
        <v>53</v>
      </c>
      <c r="C65" s="67"/>
      <c r="D65" s="11" t="s">
        <v>42</v>
      </c>
      <c r="E65" s="11" t="s">
        <v>43</v>
      </c>
      <c r="F65" s="11" t="s">
        <v>44</v>
      </c>
      <c r="G65" s="12" t="s">
        <v>45</v>
      </c>
      <c r="H65" s="67" t="s">
        <v>63</v>
      </c>
      <c r="I65" s="67"/>
      <c r="J65" s="11" t="s">
        <v>42</v>
      </c>
      <c r="K65" s="11" t="s">
        <v>43</v>
      </c>
      <c r="L65" s="12" t="s">
        <v>96</v>
      </c>
      <c r="M65" s="13" t="s">
        <v>65</v>
      </c>
      <c r="N65" s="20" t="s">
        <v>77</v>
      </c>
      <c r="O65" s="20" t="s">
        <v>78</v>
      </c>
      <c r="P65" s="12" t="s">
        <v>72</v>
      </c>
      <c r="R65" s="68" t="s">
        <v>86</v>
      </c>
      <c r="S65" s="69"/>
      <c r="T65" s="27" t="s">
        <v>42</v>
      </c>
      <c r="U65" s="28" t="s">
        <v>43</v>
      </c>
      <c r="V65" s="38" t="s">
        <v>45</v>
      </c>
      <c r="W65" s="68" t="s">
        <v>89</v>
      </c>
      <c r="X65" s="69"/>
      <c r="Y65" s="39" t="s">
        <v>42</v>
      </c>
      <c r="Z65" s="28" t="s">
        <v>43</v>
      </c>
      <c r="AC65" s="67" t="s">
        <v>93</v>
      </c>
      <c r="AD65" s="67"/>
      <c r="AE65" s="11" t="s">
        <v>42</v>
      </c>
      <c r="AF65" s="11" t="s">
        <v>43</v>
      </c>
      <c r="AG65" s="12" t="s">
        <v>94</v>
      </c>
    </row>
    <row r="66" spans="1:33" ht="18" customHeight="1" x14ac:dyDescent="0.2">
      <c r="A66" s="14" t="s">
        <v>47</v>
      </c>
      <c r="B66">
        <v>36</v>
      </c>
      <c r="C66">
        <v>43</v>
      </c>
      <c r="D66">
        <f>AVERAGE(B66:C66)</f>
        <v>39.5</v>
      </c>
      <c r="E66" s="14">
        <v>1000</v>
      </c>
      <c r="F66" s="14">
        <f>1789.5-1770.7</f>
        <v>18.799999999999955</v>
      </c>
      <c r="G66" s="15">
        <f>LOG10(D66*100*E66/F66*1000)</f>
        <v>8.3224392463627819</v>
      </c>
      <c r="H66" s="16">
        <v>33</v>
      </c>
      <c r="I66" s="16">
        <v>41</v>
      </c>
      <c r="J66" s="16">
        <f>AVERAGE(H66:I66)</f>
        <v>37</v>
      </c>
      <c r="K66" s="16">
        <v>1000</v>
      </c>
      <c r="L66" s="15">
        <f>LOG10(K66*100*J66/F66*1000)</f>
        <v>8.2940438748033163</v>
      </c>
      <c r="M66" s="17">
        <f>(J66*K66)/(D66*E66)</f>
        <v>0.93670886075949367</v>
      </c>
      <c r="N66" s="18">
        <f>J66*K66/(D66*E66-(J66*K66))</f>
        <v>14.8</v>
      </c>
      <c r="O66" s="18">
        <f>dose!$H$28</f>
        <v>1.4093264248704662</v>
      </c>
      <c r="P66" s="23">
        <f>N66/O66</f>
        <v>10.501470588235295</v>
      </c>
      <c r="R66" s="29"/>
      <c r="T66" t="e">
        <f>AVERAGE(R66:S66)</f>
        <v>#DIV/0!</v>
      </c>
      <c r="U66" s="30"/>
      <c r="V66" s="47" t="e">
        <f>LOG10(U66*100*T66/F66*1000)</f>
        <v>#DIV/0!</v>
      </c>
      <c r="W66" s="33"/>
      <c r="X66" s="16"/>
      <c r="Y66" s="40" t="e">
        <f>AVERAGE(W66:X66)</f>
        <v>#DIV/0!</v>
      </c>
      <c r="Z66" s="34"/>
      <c r="AC66" s="16"/>
      <c r="AD66" s="16"/>
      <c r="AE66" s="16"/>
      <c r="AF66" s="16"/>
      <c r="AG66" s="45"/>
    </row>
    <row r="67" spans="1:33" x14ac:dyDescent="0.2">
      <c r="A67" s="14" t="s">
        <v>48</v>
      </c>
      <c r="B67">
        <v>48</v>
      </c>
      <c r="C67">
        <v>54</v>
      </c>
      <c r="D67">
        <f>AVERAGE(B67:C67)</f>
        <v>51</v>
      </c>
      <c r="E67" s="14">
        <v>10000</v>
      </c>
      <c r="F67" s="14">
        <f>1694-1664.3</f>
        <v>29.700000000000045</v>
      </c>
      <c r="G67" s="15">
        <f>LOG10(D67*100*E67/F67*1000)</f>
        <v>9.2348137267807235</v>
      </c>
      <c r="H67" s="16">
        <v>49</v>
      </c>
      <c r="I67" s="16">
        <v>44</v>
      </c>
      <c r="J67" s="16">
        <f>AVERAGE(H67:I67)</f>
        <v>46.5</v>
      </c>
      <c r="K67" s="16">
        <v>10000</v>
      </c>
      <c r="L67" s="15">
        <f t="shared" ref="L67:L69" si="49">LOG10(K67*100*J67/F67*1000)</f>
        <v>9.1946965035727413</v>
      </c>
      <c r="M67" s="17">
        <f>(J67*K67)/(D67*E67)</f>
        <v>0.91176470588235292</v>
      </c>
      <c r="N67" s="18">
        <f>J67*K67/(D67*E67-(J67*K67))</f>
        <v>10.333333333333334</v>
      </c>
      <c r="O67" s="18">
        <f>dose!$H$28</f>
        <v>1.4093264248704662</v>
      </c>
      <c r="P67" s="23">
        <f t="shared" ref="P67" si="50">N67/O67</f>
        <v>7.3321078431372557</v>
      </c>
      <c r="R67" s="31">
        <v>11</v>
      </c>
      <c r="S67" s="6">
        <v>4</v>
      </c>
      <c r="T67" s="6">
        <f>AVERAGE(R67:S67)</f>
        <v>7.5</v>
      </c>
      <c r="U67" s="32">
        <v>1000</v>
      </c>
      <c r="V67" s="48">
        <f t="shared" ref="V67" si="51">LOG10(U67*100*T67/F67*1000)</f>
        <v>7.4023048140744869</v>
      </c>
      <c r="W67" s="35">
        <v>26</v>
      </c>
      <c r="X67" s="36">
        <v>18</v>
      </c>
      <c r="Y67" s="41">
        <f>AVERAGE(W67:X67)</f>
        <v>22</v>
      </c>
      <c r="Z67" s="37">
        <v>1000</v>
      </c>
      <c r="AC67" s="16"/>
      <c r="AD67" s="16"/>
      <c r="AE67" s="16"/>
      <c r="AF67" s="16"/>
      <c r="AG67" s="45"/>
    </row>
    <row r="68" spans="1:33" x14ac:dyDescent="0.2">
      <c r="A68" s="14" t="s">
        <v>51</v>
      </c>
      <c r="B68">
        <v>123</v>
      </c>
      <c r="C68">
        <v>104</v>
      </c>
      <c r="D68">
        <f>AVERAGE(B68:C68)</f>
        <v>113.5</v>
      </c>
      <c r="E68" s="14">
        <v>1000</v>
      </c>
      <c r="F68" s="14">
        <f>1715.3-1702.5</f>
        <v>12.799999999999955</v>
      </c>
      <c r="G68" s="15">
        <f t="shared" ref="G68:G70" si="52">LOG10(D68*100*E68/F68*1000)</f>
        <v>8.9477858918812743</v>
      </c>
      <c r="H68" s="16">
        <v>118</v>
      </c>
      <c r="I68" s="16">
        <v>103</v>
      </c>
      <c r="J68" s="16">
        <f>AVERAGE(H68:I68)</f>
        <v>110.5</v>
      </c>
      <c r="K68" s="16">
        <v>1000</v>
      </c>
      <c r="L68" s="15">
        <f t="shared" si="49"/>
        <v>8.9361523083732628</v>
      </c>
      <c r="M68" s="17">
        <f>(J68*K68)/(D68*E68)</f>
        <v>0.97356828193832601</v>
      </c>
      <c r="N68" s="18">
        <f>J68*K68/(D68*E68-(J68*K68))</f>
        <v>36.833333333333336</v>
      </c>
      <c r="O68" s="18">
        <f>dose!$H$28</f>
        <v>1.4093264248704662</v>
      </c>
      <c r="P68" s="23">
        <f>N68/O68</f>
        <v>26.135416666666671</v>
      </c>
      <c r="AC68" s="16"/>
      <c r="AD68" s="16"/>
      <c r="AE68" s="16"/>
      <c r="AF68" s="16"/>
      <c r="AG68" s="45"/>
    </row>
    <row r="69" spans="1:33" x14ac:dyDescent="0.2">
      <c r="A69" s="14" t="s">
        <v>49</v>
      </c>
      <c r="B69">
        <v>29</v>
      </c>
      <c r="C69">
        <v>41</v>
      </c>
      <c r="D69">
        <f>AVERAGE(B69:C69)</f>
        <v>35</v>
      </c>
      <c r="E69" s="14">
        <v>1000</v>
      </c>
      <c r="F69" s="14">
        <f>1787.3-1762.4</f>
        <v>24.899999999999864</v>
      </c>
      <c r="G69" s="15">
        <f t="shared" si="52"/>
        <v>8.1478686972545411</v>
      </c>
      <c r="H69" s="16">
        <v>36</v>
      </c>
      <c r="I69" s="16">
        <v>36</v>
      </c>
      <c r="J69" s="16">
        <f>AVERAGE(H69:I69)</f>
        <v>36</v>
      </c>
      <c r="K69" s="16">
        <v>1000</v>
      </c>
      <c r="L69" s="15">
        <f t="shared" si="49"/>
        <v>8.1601031536715531</v>
      </c>
      <c r="M69" s="17">
        <f>(J69*K69)/(D69*E69)</f>
        <v>1.0285714285714285</v>
      </c>
      <c r="N69" s="22">
        <f>J69*K69/(D69*E69-(J69*K69))</f>
        <v>-36</v>
      </c>
      <c r="O69" s="18">
        <f>dose!$H$28</f>
        <v>1.4093264248704662</v>
      </c>
      <c r="P69" s="24">
        <f t="shared" ref="P69:P70" si="53">N69/O69</f>
        <v>-25.544117647058826</v>
      </c>
      <c r="AC69" s="16"/>
      <c r="AD69" s="16"/>
      <c r="AE69" s="16"/>
      <c r="AF69" s="16"/>
      <c r="AG69" s="45"/>
    </row>
    <row r="70" spans="1:33" x14ac:dyDescent="0.2">
      <c r="A70" s="14" t="s">
        <v>50</v>
      </c>
      <c r="B70">
        <v>64</v>
      </c>
      <c r="C70">
        <v>57</v>
      </c>
      <c r="D70">
        <f>AVERAGE(B70:C70)</f>
        <v>60.5</v>
      </c>
      <c r="E70" s="14">
        <v>10</v>
      </c>
      <c r="F70" s="14">
        <f>1737.1-1705.8</f>
        <v>31.299999999999955</v>
      </c>
      <c r="G70" s="15">
        <f t="shared" si="52"/>
        <v>6.2862110371060211</v>
      </c>
      <c r="H70" s="16">
        <v>54</v>
      </c>
      <c r="I70" s="16">
        <v>59</v>
      </c>
      <c r="J70" s="16">
        <f>AVERAGE(H70:I70)</f>
        <v>56.5</v>
      </c>
      <c r="K70" s="16">
        <v>10</v>
      </c>
      <c r="L70" s="15">
        <f>LOG10(K70*100*J70/F70*1000)</f>
        <v>6.2565041102729904</v>
      </c>
      <c r="M70" s="17">
        <f>(J70*K70)/(D70*E70)</f>
        <v>0.93388429752066116</v>
      </c>
      <c r="N70" s="18">
        <f>J70*K70/(D70*E70-(J70*K70))</f>
        <v>14.125</v>
      </c>
      <c r="O70" s="18">
        <f>dose!$H$28</f>
        <v>1.4093264248704662</v>
      </c>
      <c r="P70" s="23">
        <f t="shared" si="53"/>
        <v>10.022518382352942</v>
      </c>
      <c r="AC70">
        <v>68</v>
      </c>
      <c r="AD70">
        <v>58</v>
      </c>
      <c r="AE70" s="16">
        <f>AVERAGE(AC70:AD70)</f>
        <v>63</v>
      </c>
      <c r="AF70">
        <v>10</v>
      </c>
      <c r="AG70" s="47">
        <f>LOG10(AE70*AF70*100/F70*1000)</f>
        <v>6.3037962119071338</v>
      </c>
    </row>
    <row r="71" spans="1:33" s="19" customFormat="1" x14ac:dyDescent="0.2">
      <c r="P71" s="25"/>
      <c r="V71" s="46"/>
      <c r="Y71" s="42"/>
      <c r="AA71" s="46"/>
    </row>
    <row r="72" spans="1:33" ht="51" customHeight="1" x14ac:dyDescent="0.2">
      <c r="A72" s="10" t="s">
        <v>69</v>
      </c>
      <c r="B72" s="67" t="s">
        <v>75</v>
      </c>
      <c r="C72" s="67"/>
      <c r="D72" s="11" t="s">
        <v>42</v>
      </c>
      <c r="E72" s="11" t="s">
        <v>43</v>
      </c>
      <c r="F72" s="11" t="s">
        <v>44</v>
      </c>
      <c r="G72" s="12" t="s">
        <v>45</v>
      </c>
      <c r="H72" s="67" t="s">
        <v>76</v>
      </c>
      <c r="I72" s="67"/>
      <c r="J72" s="11" t="s">
        <v>42</v>
      </c>
      <c r="K72" s="11" t="s">
        <v>43</v>
      </c>
      <c r="L72" s="11"/>
      <c r="M72" s="13" t="s">
        <v>70</v>
      </c>
      <c r="N72" s="20" t="s">
        <v>79</v>
      </c>
      <c r="O72" s="20" t="s">
        <v>80</v>
      </c>
      <c r="P72" s="12" t="s">
        <v>72</v>
      </c>
      <c r="Q72" s="70" t="s">
        <v>97</v>
      </c>
      <c r="R72" s="68" t="s">
        <v>90</v>
      </c>
      <c r="S72" s="69"/>
      <c r="T72" s="27" t="s">
        <v>42</v>
      </c>
      <c r="U72" s="28" t="s">
        <v>43</v>
      </c>
      <c r="V72" s="44" t="s">
        <v>45</v>
      </c>
      <c r="W72" s="69" t="s">
        <v>91</v>
      </c>
      <c r="X72" s="69"/>
      <c r="Y72" s="39" t="s">
        <v>42</v>
      </c>
      <c r="Z72" s="28" t="s">
        <v>43</v>
      </c>
    </row>
    <row r="73" spans="1:33" x14ac:dyDescent="0.2">
      <c r="A73" s="14" t="s">
        <v>47</v>
      </c>
      <c r="B73">
        <v>27</v>
      </c>
      <c r="C73">
        <v>28</v>
      </c>
      <c r="D73">
        <f>AVERAGE(B73:C73)</f>
        <v>27.5</v>
      </c>
      <c r="E73" s="14">
        <v>1000</v>
      </c>
      <c r="F73" s="14">
        <f>1697-1677.5</f>
        <v>19.5</v>
      </c>
      <c r="G73" s="15">
        <f>LOG10((D73*100*E73+J73*K73*100)/F73*1000)</f>
        <v>8.5762527277216769</v>
      </c>
      <c r="H73" s="16">
        <v>56</v>
      </c>
      <c r="I73" s="16">
        <v>36</v>
      </c>
      <c r="J73" s="16">
        <f>AVERAGE(H73:I73)</f>
        <v>46</v>
      </c>
      <c r="K73" s="16">
        <v>1000</v>
      </c>
      <c r="L73" s="16"/>
      <c r="M73" s="17">
        <f>(J73*K73)/(D73*E73+(J73*K73))</f>
        <v>0.62585034013605445</v>
      </c>
      <c r="N73" s="18">
        <f>J73*K73/(D73*E73)</f>
        <v>1.6727272727272726</v>
      </c>
      <c r="O73" s="18">
        <f>dose!$H$47</f>
        <v>1.5773809523809523</v>
      </c>
      <c r="P73" s="23">
        <f>N73/O73</f>
        <v>1.0604459691252144</v>
      </c>
      <c r="Q73" s="71">
        <f>(((D73*E73)/(J73*K73)))/$N$53</f>
        <v>1.011705685618729</v>
      </c>
      <c r="R73" s="29">
        <v>5</v>
      </c>
      <c r="S73">
        <v>5</v>
      </c>
      <c r="T73">
        <f>AVERAGE(R73:S73)</f>
        <v>5</v>
      </c>
      <c r="U73" s="30">
        <v>1000</v>
      </c>
      <c r="V73" s="49">
        <f>LOG10((U73*100*T73+Y73*Z73*100)/F73*1000)</f>
        <v>7.871333390872457</v>
      </c>
      <c r="W73" s="16">
        <v>10</v>
      </c>
      <c r="X73" s="16">
        <v>9</v>
      </c>
      <c r="Y73" s="40">
        <f>AVERAGE(W73:X73)</f>
        <v>9.5</v>
      </c>
      <c r="Z73" s="34">
        <v>1000</v>
      </c>
    </row>
    <row r="74" spans="1:33" x14ac:dyDescent="0.2">
      <c r="A74" s="14" t="s">
        <v>48</v>
      </c>
      <c r="B74">
        <v>17</v>
      </c>
      <c r="C74">
        <v>17</v>
      </c>
      <c r="D74">
        <f>AVERAGE(B74:C74)</f>
        <v>17</v>
      </c>
      <c r="E74" s="14">
        <v>10000</v>
      </c>
      <c r="F74" s="14">
        <f>1720.2-1698.4</f>
        <v>21.799999999999955</v>
      </c>
      <c r="G74" s="15">
        <f t="shared" ref="G74:G76" si="54">LOG10((D74*100*E74+J74*K74*100)/F74*1000)</f>
        <v>9.0507095907599293</v>
      </c>
      <c r="H74" s="16">
        <v>6</v>
      </c>
      <c r="I74" s="16">
        <v>9</v>
      </c>
      <c r="J74" s="16">
        <f>AVERAGE(H74:I74)</f>
        <v>7.5</v>
      </c>
      <c r="K74" s="16">
        <v>10000</v>
      </c>
      <c r="L74" s="16"/>
      <c r="M74" s="17">
        <f t="shared" ref="M74:M76" si="55">(J74*K74)/(D74*E74+(J74*K74))</f>
        <v>0.30612244897959184</v>
      </c>
      <c r="N74" s="18">
        <f t="shared" ref="N74:N77" si="56">J74*K74/(D74*E74)</f>
        <v>0.44117647058823528</v>
      </c>
      <c r="O74" s="18">
        <f>dose!$H$47</f>
        <v>1.5773809523809523</v>
      </c>
      <c r="P74" s="23">
        <f t="shared" ref="P74" si="57">N74/O74</f>
        <v>0.27968923418423974</v>
      </c>
      <c r="Q74" s="71">
        <f t="shared" ref="Q74:Q105" si="58">(((D74*E74)/(J74*K74)))/$N$53</f>
        <v>3.8358974358974356</v>
      </c>
      <c r="R74" s="31">
        <v>32</v>
      </c>
      <c r="S74" s="6">
        <v>30</v>
      </c>
      <c r="T74" s="6">
        <f>AVERAGE(R74:S74)</f>
        <v>31</v>
      </c>
      <c r="U74" s="32">
        <v>1000</v>
      </c>
      <c r="V74" s="49">
        <f>LOG10((U74*100*T74+Y74*Z74*100)/F74*1000)</f>
        <v>8.295011961974982</v>
      </c>
      <c r="W74" s="36">
        <v>12</v>
      </c>
      <c r="X74" s="36">
        <v>12</v>
      </c>
      <c r="Y74" s="41">
        <f>AVERAGE(W74:X74)</f>
        <v>12</v>
      </c>
      <c r="Z74" s="37">
        <v>1000</v>
      </c>
    </row>
    <row r="75" spans="1:33" x14ac:dyDescent="0.2">
      <c r="A75" s="14" t="s">
        <v>51</v>
      </c>
      <c r="B75">
        <v>31</v>
      </c>
      <c r="C75">
        <v>20</v>
      </c>
      <c r="D75">
        <f>AVERAGE(B75:C75)</f>
        <v>25.5</v>
      </c>
      <c r="E75" s="14">
        <v>10000</v>
      </c>
      <c r="F75" s="14">
        <f>1720.1-1702</f>
        <v>18.099999999999909</v>
      </c>
      <c r="G75" s="15">
        <f t="shared" si="54"/>
        <v>9.3046142895872919</v>
      </c>
      <c r="H75" s="16">
        <v>12</v>
      </c>
      <c r="I75" s="16">
        <v>10</v>
      </c>
      <c r="J75" s="16">
        <f>AVERAGE(H75:I75)</f>
        <v>11</v>
      </c>
      <c r="K75" s="16">
        <v>10000</v>
      </c>
      <c r="L75" s="16"/>
      <c r="M75" s="17">
        <f t="shared" si="55"/>
        <v>0.30136986301369861</v>
      </c>
      <c r="N75" s="18">
        <f t="shared" si="56"/>
        <v>0.43137254901960786</v>
      </c>
      <c r="O75" s="18">
        <f>dose!$H$47</f>
        <v>1.5773809523809523</v>
      </c>
      <c r="P75" s="23">
        <f>N75/O75</f>
        <v>0.27347391786903441</v>
      </c>
      <c r="Q75" s="71">
        <f t="shared" si="58"/>
        <v>3.9230769230769234</v>
      </c>
    </row>
    <row r="76" spans="1:33" x14ac:dyDescent="0.2">
      <c r="A76" s="14" t="s">
        <v>49</v>
      </c>
      <c r="D76">
        <f>AVERAGE(40,46,44)</f>
        <v>43.333333333333336</v>
      </c>
      <c r="E76" s="14">
        <v>1000</v>
      </c>
      <c r="F76" s="14">
        <f>1702-1679.7</f>
        <v>22.299999999999955</v>
      </c>
      <c r="G76" s="15">
        <f t="shared" si="54"/>
        <v>8.5363017182497707</v>
      </c>
      <c r="H76" s="16"/>
      <c r="I76" s="16"/>
      <c r="J76" s="16">
        <f>AVERAGE(30,36,34)</f>
        <v>33.333333333333336</v>
      </c>
      <c r="K76" s="16">
        <v>1000</v>
      </c>
      <c r="L76" s="16"/>
      <c r="M76" s="17">
        <f t="shared" si="55"/>
        <v>0.43478260869565216</v>
      </c>
      <c r="N76" s="18">
        <f t="shared" si="56"/>
        <v>0.76923076923076927</v>
      </c>
      <c r="O76" s="18">
        <f>dose!$H$47</f>
        <v>1.5773809523809523</v>
      </c>
      <c r="P76" s="23">
        <f t="shared" ref="P76:P77" si="59">N76/O76</f>
        <v>0.48766328011611038</v>
      </c>
      <c r="Q76" s="71">
        <f t="shared" si="58"/>
        <v>2.2000000000000002</v>
      </c>
    </row>
    <row r="77" spans="1:33" x14ac:dyDescent="0.2">
      <c r="A77" s="14" t="s">
        <v>50</v>
      </c>
      <c r="B77">
        <v>17</v>
      </c>
      <c r="C77">
        <v>15</v>
      </c>
      <c r="D77">
        <f>AVERAGE(B77:C77)</f>
        <v>16</v>
      </c>
      <c r="E77" s="14">
        <v>1</v>
      </c>
      <c r="F77" s="14">
        <f>1662.7-1635.9</f>
        <v>26.799999999999955</v>
      </c>
      <c r="G77" s="15">
        <f>LOG10((D77*100*E77+J77*K77*100)/F77*1000)</f>
        <v>4.9142878867934181</v>
      </c>
      <c r="H77" s="16">
        <v>5</v>
      </c>
      <c r="I77" s="16">
        <v>7</v>
      </c>
      <c r="J77" s="16">
        <f>AVERAGE(H77:I77)</f>
        <v>6</v>
      </c>
      <c r="K77" s="16">
        <v>1</v>
      </c>
      <c r="L77" s="16"/>
      <c r="M77" s="17">
        <f>(J77*K77)/(D77*E77)</f>
        <v>0.375</v>
      </c>
      <c r="N77" s="18">
        <f t="shared" si="56"/>
        <v>0.375</v>
      </c>
      <c r="O77" s="18">
        <f>dose!$H$47</f>
        <v>1.5773809523809523</v>
      </c>
      <c r="P77" s="23">
        <f t="shared" si="59"/>
        <v>0.23773584905660378</v>
      </c>
      <c r="Q77" s="71">
        <f t="shared" si="58"/>
        <v>4.5128205128205128</v>
      </c>
    </row>
    <row r="78" spans="1:33" x14ac:dyDescent="0.2">
      <c r="Q78" s="71"/>
    </row>
    <row r="79" spans="1:33" ht="51" customHeight="1" x14ac:dyDescent="0.2">
      <c r="A79" s="10" t="s">
        <v>81</v>
      </c>
      <c r="B79" s="67" t="s">
        <v>75</v>
      </c>
      <c r="C79" s="67"/>
      <c r="D79" s="11" t="s">
        <v>42</v>
      </c>
      <c r="E79" s="11" t="s">
        <v>43</v>
      </c>
      <c r="F79" s="11" t="s">
        <v>44</v>
      </c>
      <c r="G79" s="12" t="s">
        <v>45</v>
      </c>
      <c r="H79" s="67" t="s">
        <v>76</v>
      </c>
      <c r="I79" s="67"/>
      <c r="J79" s="11" t="s">
        <v>42</v>
      </c>
      <c r="K79" s="11" t="s">
        <v>43</v>
      </c>
      <c r="L79" s="11"/>
      <c r="M79" s="13" t="s">
        <v>70</v>
      </c>
      <c r="N79" s="20" t="s">
        <v>79</v>
      </c>
      <c r="O79" s="20" t="s">
        <v>80</v>
      </c>
      <c r="P79" s="12" t="s">
        <v>72</v>
      </c>
      <c r="Q79" s="70" t="s">
        <v>97</v>
      </c>
      <c r="R79" s="68" t="s">
        <v>90</v>
      </c>
      <c r="S79" s="69"/>
      <c r="T79" s="27" t="s">
        <v>42</v>
      </c>
      <c r="U79" s="28" t="s">
        <v>43</v>
      </c>
      <c r="V79" s="44" t="s">
        <v>45</v>
      </c>
      <c r="W79" s="69" t="s">
        <v>91</v>
      </c>
      <c r="X79" s="69"/>
      <c r="Y79" s="39" t="s">
        <v>42</v>
      </c>
      <c r="Z79" s="28" t="s">
        <v>43</v>
      </c>
    </row>
    <row r="80" spans="1:33" x14ac:dyDescent="0.2">
      <c r="A80" s="14" t="s">
        <v>47</v>
      </c>
      <c r="B80">
        <v>82</v>
      </c>
      <c r="C80">
        <v>81</v>
      </c>
      <c r="D80">
        <f>AVERAGE(B80:C80)</f>
        <v>81.5</v>
      </c>
      <c r="E80" s="14">
        <v>100</v>
      </c>
      <c r="F80" s="14">
        <f>1794.6-1766.9</f>
        <v>27.699999999999818</v>
      </c>
      <c r="G80" s="15">
        <f>LOG10((D80*100*E80+J80*K80*100)/F80*1000)</f>
        <v>7.737932863773878</v>
      </c>
      <c r="H80" s="16">
        <v>66</v>
      </c>
      <c r="I80" s="16">
        <v>74</v>
      </c>
      <c r="J80" s="16">
        <f>AVERAGE(H80:I80)</f>
        <v>70</v>
      </c>
      <c r="K80" s="16">
        <v>100</v>
      </c>
      <c r="L80" s="16"/>
      <c r="M80" s="17">
        <f>(J80*K80)/(D80*E80+(J80*K80))</f>
        <v>0.46204620462046203</v>
      </c>
      <c r="N80" s="18">
        <f>J80*K80/(D80*E80)</f>
        <v>0.85889570552147243</v>
      </c>
      <c r="O80" s="18">
        <f>dose!$H$47</f>
        <v>1.5773809523809523</v>
      </c>
      <c r="P80" s="23">
        <f>N80/O80</f>
        <v>0.54450746614191459</v>
      </c>
      <c r="Q80" s="71">
        <f t="shared" si="58"/>
        <v>1.9703296703296704</v>
      </c>
      <c r="R80" s="29">
        <v>56</v>
      </c>
      <c r="S80">
        <v>68</v>
      </c>
      <c r="T80">
        <f>AVERAGE(R80:S80)</f>
        <v>62</v>
      </c>
      <c r="U80" s="30">
        <v>100</v>
      </c>
      <c r="V80" s="49">
        <f>LOG10((U80*100*T80+Y80*Z80*100)/F80*1000)</f>
        <v>7.6294022382416795</v>
      </c>
      <c r="W80" s="16">
        <v>53</v>
      </c>
      <c r="X80" s="16">
        <v>59</v>
      </c>
      <c r="Y80" s="40">
        <f>AVERAGE(W80:X80)</f>
        <v>56</v>
      </c>
      <c r="Z80" s="34">
        <v>100</v>
      </c>
    </row>
    <row r="81" spans="1:26" x14ac:dyDescent="0.2">
      <c r="A81" s="14" t="s">
        <v>48</v>
      </c>
      <c r="B81">
        <v>13</v>
      </c>
      <c r="C81">
        <v>9</v>
      </c>
      <c r="D81">
        <f>AVERAGE(B81:C81)</f>
        <v>11</v>
      </c>
      <c r="E81" s="14">
        <v>10000</v>
      </c>
      <c r="F81" s="14">
        <f>1839.6-1816.8</f>
        <v>22.799999999999955</v>
      </c>
      <c r="G81" s="15">
        <f t="shared" ref="G81:G84" si="60">LOG10((D81*100*E81+J81*K81*100)/F81*1000)</f>
        <v>8.9320997643620643</v>
      </c>
      <c r="H81" s="16">
        <v>6</v>
      </c>
      <c r="I81" s="16">
        <v>11</v>
      </c>
      <c r="J81" s="16">
        <f>AVERAGE(H81:I81)</f>
        <v>8.5</v>
      </c>
      <c r="K81" s="16">
        <v>10000</v>
      </c>
      <c r="L81" s="16"/>
      <c r="M81" s="17">
        <f t="shared" ref="M81:M83" si="61">(J81*K81)/(D81*E81+(J81*K81))</f>
        <v>0.4358974358974359</v>
      </c>
      <c r="N81" s="18">
        <f t="shared" ref="N81:N84" si="62">J81*K81/(D81*E81)</f>
        <v>0.77272727272727271</v>
      </c>
      <c r="O81" s="18">
        <f>dose!$H$47</f>
        <v>1.5773809523809523</v>
      </c>
      <c r="P81" s="23">
        <f t="shared" ref="P81" si="63">N81/O81</f>
        <v>0.48987993138936536</v>
      </c>
      <c r="Q81" s="71">
        <f t="shared" si="58"/>
        <v>2.1900452488687785</v>
      </c>
      <c r="R81" s="31"/>
      <c r="S81" s="6"/>
      <c r="T81" s="6" t="e">
        <f>AVERAGE(R81:S81)</f>
        <v>#DIV/0!</v>
      </c>
      <c r="U81" s="32"/>
      <c r="V81" s="49" t="e">
        <f>LOG10((U81*100*T81+Y81*Z81*100)/F81*1000)</f>
        <v>#DIV/0!</v>
      </c>
      <c r="W81" s="36"/>
      <c r="X81" s="36"/>
      <c r="Y81" s="41" t="e">
        <f>AVERAGE(W81:X81)</f>
        <v>#DIV/0!</v>
      </c>
      <c r="Z81" s="37"/>
    </row>
    <row r="82" spans="1:26" x14ac:dyDescent="0.2">
      <c r="A82" s="14" t="s">
        <v>51</v>
      </c>
      <c r="B82">
        <v>15</v>
      </c>
      <c r="C82">
        <v>17</v>
      </c>
      <c r="D82">
        <f>AVERAGE(B82:C82)</f>
        <v>16</v>
      </c>
      <c r="E82" s="14">
        <v>10000</v>
      </c>
      <c r="F82" s="14">
        <f>1698.7-1672.3</f>
        <v>26.400000000000091</v>
      </c>
      <c r="G82" s="15">
        <f t="shared" si="60"/>
        <v>9.0332409331386785</v>
      </c>
      <c r="H82" s="16">
        <v>8</v>
      </c>
      <c r="I82" s="16">
        <v>17</v>
      </c>
      <c r="J82" s="16">
        <f>AVERAGE(H82:I82)</f>
        <v>12.5</v>
      </c>
      <c r="K82" s="16">
        <v>10000</v>
      </c>
      <c r="L82" s="16"/>
      <c r="M82" s="17">
        <f t="shared" si="61"/>
        <v>0.43859649122807015</v>
      </c>
      <c r="N82" s="18">
        <f t="shared" si="62"/>
        <v>0.78125</v>
      </c>
      <c r="O82" s="18">
        <f>dose!$H$47</f>
        <v>1.5773809523809523</v>
      </c>
      <c r="P82" s="23">
        <f>N82/O82</f>
        <v>0.49528301886792453</v>
      </c>
      <c r="Q82" s="71">
        <f t="shared" si="58"/>
        <v>2.1661538461538461</v>
      </c>
    </row>
    <row r="83" spans="1:26" x14ac:dyDescent="0.2">
      <c r="A83" s="14" t="s">
        <v>49</v>
      </c>
      <c r="B83">
        <v>19</v>
      </c>
      <c r="C83">
        <v>16</v>
      </c>
      <c r="D83">
        <f>AVERAGE(B83:C83)</f>
        <v>17.5</v>
      </c>
      <c r="E83" s="14">
        <v>1000</v>
      </c>
      <c r="F83" s="14">
        <f>1710.5-1683</f>
        <v>27.5</v>
      </c>
      <c r="G83" s="15">
        <f t="shared" si="60"/>
        <v>8.1787154028818296</v>
      </c>
      <c r="H83" s="16">
        <v>26</v>
      </c>
      <c r="I83" s="16">
        <v>22</v>
      </c>
      <c r="J83" s="16">
        <f>AVERAGE(H83:I83)</f>
        <v>24</v>
      </c>
      <c r="K83" s="16">
        <v>1000</v>
      </c>
      <c r="L83" s="16"/>
      <c r="M83" s="17">
        <f t="shared" si="61"/>
        <v>0.57831325301204817</v>
      </c>
      <c r="N83" s="18">
        <f t="shared" si="62"/>
        <v>1.3714285714285714</v>
      </c>
      <c r="O83" s="18">
        <f>dose!$H$47</f>
        <v>1.5773809523809523</v>
      </c>
      <c r="P83" s="23">
        <f t="shared" ref="P83:P84" si="64">N83/O83</f>
        <v>0.86943396226415093</v>
      </c>
      <c r="Q83" s="71">
        <f t="shared" si="58"/>
        <v>1.2339743589743588</v>
      </c>
    </row>
    <row r="84" spans="1:26" x14ac:dyDescent="0.2">
      <c r="A84" s="14" t="s">
        <v>50</v>
      </c>
      <c r="B84">
        <v>21</v>
      </c>
      <c r="C84">
        <v>19</v>
      </c>
      <c r="D84">
        <f>AVERAGE(B84:C84)</f>
        <v>20</v>
      </c>
      <c r="E84" s="14">
        <v>10</v>
      </c>
      <c r="F84" s="14">
        <f>1804.8-1706.1</f>
        <v>98.700000000000045</v>
      </c>
      <c r="G84" s="15">
        <f t="shared" si="60"/>
        <v>5.5738845713973584</v>
      </c>
      <c r="H84" s="16">
        <v>14</v>
      </c>
      <c r="I84" s="16">
        <v>20</v>
      </c>
      <c r="J84" s="16">
        <f>AVERAGE(H84:I84)</f>
        <v>17</v>
      </c>
      <c r="K84" s="16">
        <v>10</v>
      </c>
      <c r="L84" s="16"/>
      <c r="M84" s="17">
        <f>(J84*K84)/(D84*E84)</f>
        <v>0.85</v>
      </c>
      <c r="N84" s="18">
        <f t="shared" si="62"/>
        <v>0.85</v>
      </c>
      <c r="O84" s="18">
        <f>dose!$H$47</f>
        <v>1.5773809523809523</v>
      </c>
      <c r="P84" s="23">
        <f t="shared" si="64"/>
        <v>0.5388679245283019</v>
      </c>
      <c r="Q84" s="71">
        <f t="shared" si="58"/>
        <v>1.9909502262443439</v>
      </c>
    </row>
    <row r="85" spans="1:26" x14ac:dyDescent="0.2">
      <c r="Q85" s="71"/>
    </row>
    <row r="86" spans="1:26" ht="51" x14ac:dyDescent="0.2">
      <c r="A86" s="10" t="s">
        <v>82</v>
      </c>
      <c r="B86" s="67" t="s">
        <v>75</v>
      </c>
      <c r="C86" s="67"/>
      <c r="D86" s="11" t="s">
        <v>42</v>
      </c>
      <c r="E86" s="11" t="s">
        <v>43</v>
      </c>
      <c r="F86" s="11" t="s">
        <v>44</v>
      </c>
      <c r="G86" s="12" t="s">
        <v>45</v>
      </c>
      <c r="H86" s="67" t="s">
        <v>76</v>
      </c>
      <c r="I86" s="67"/>
      <c r="J86" s="11" t="s">
        <v>42</v>
      </c>
      <c r="K86" s="11" t="s">
        <v>43</v>
      </c>
      <c r="L86" s="11"/>
      <c r="M86" s="13" t="s">
        <v>70</v>
      </c>
      <c r="N86" s="20" t="s">
        <v>79</v>
      </c>
      <c r="O86" s="20" t="s">
        <v>80</v>
      </c>
      <c r="P86" s="12" t="s">
        <v>72</v>
      </c>
      <c r="Q86" s="70" t="s">
        <v>97</v>
      </c>
      <c r="R86" s="68" t="s">
        <v>90</v>
      </c>
      <c r="S86" s="69"/>
      <c r="T86" s="27" t="s">
        <v>42</v>
      </c>
      <c r="U86" s="28" t="s">
        <v>43</v>
      </c>
      <c r="V86" s="44" t="s">
        <v>45</v>
      </c>
      <c r="W86" s="69" t="s">
        <v>91</v>
      </c>
      <c r="X86" s="69"/>
      <c r="Y86" s="39" t="s">
        <v>42</v>
      </c>
      <c r="Z86" s="28" t="s">
        <v>43</v>
      </c>
    </row>
    <row r="87" spans="1:26" x14ac:dyDescent="0.2">
      <c r="A87" s="14" t="s">
        <v>47</v>
      </c>
      <c r="B87">
        <v>16</v>
      </c>
      <c r="C87">
        <v>8</v>
      </c>
      <c r="D87">
        <f>AVERAGE(B87:C87)</f>
        <v>12</v>
      </c>
      <c r="E87" s="14">
        <v>1000</v>
      </c>
      <c r="F87" s="14">
        <f>1737-1694.5</f>
        <v>42.5</v>
      </c>
      <c r="G87" s="15">
        <f>LOG10((D87*100*E87+J87*K87*100)/F87*1000)</f>
        <v>7.8699216237392893</v>
      </c>
      <c r="H87" s="16">
        <v>16</v>
      </c>
      <c r="I87" s="16">
        <v>23</v>
      </c>
      <c r="J87" s="16">
        <f>AVERAGE(H87:I87)</f>
        <v>19.5</v>
      </c>
      <c r="K87" s="16">
        <v>1000</v>
      </c>
      <c r="L87" s="16"/>
      <c r="M87" s="17">
        <f>(J87*K87)/(D87*E87+(J87*K87))</f>
        <v>0.61904761904761907</v>
      </c>
      <c r="N87" s="18">
        <f>J87*K87/(D87*E87)</f>
        <v>1.625</v>
      </c>
      <c r="O87" s="18">
        <f>dose!$H$47</f>
        <v>1.5773809523809523</v>
      </c>
      <c r="P87" s="23">
        <f>N87/O87</f>
        <v>1.030188679245283</v>
      </c>
      <c r="Q87" s="71">
        <f t="shared" si="58"/>
        <v>1.0414201183431953</v>
      </c>
      <c r="R87" s="29">
        <v>2</v>
      </c>
      <c r="S87">
        <v>1</v>
      </c>
      <c r="T87">
        <f>AVERAGE(R87:S87)</f>
        <v>1.5</v>
      </c>
      <c r="U87" s="30">
        <v>1000</v>
      </c>
      <c r="V87" s="49">
        <f>LOG10((U87*100*T87+Y87*Z87*100)/F87*1000)</f>
        <v>7.0248235837250323</v>
      </c>
      <c r="W87" s="16">
        <v>4</v>
      </c>
      <c r="X87" s="16">
        <v>2</v>
      </c>
      <c r="Y87" s="40">
        <f>AVERAGE(W87:X87)</f>
        <v>3</v>
      </c>
      <c r="Z87" s="34">
        <v>1000</v>
      </c>
    </row>
    <row r="88" spans="1:26" x14ac:dyDescent="0.2">
      <c r="A88" s="14" t="s">
        <v>48</v>
      </c>
      <c r="B88">
        <v>22</v>
      </c>
      <c r="C88">
        <v>18</v>
      </c>
      <c r="D88">
        <f>AVERAGE(B88:C88)</f>
        <v>20</v>
      </c>
      <c r="E88" s="14">
        <v>10000</v>
      </c>
      <c r="F88" s="14">
        <f>1718-1677.5</f>
        <v>40.5</v>
      </c>
      <c r="G88" s="15">
        <f t="shared" ref="G88:G91" si="65">LOG10((D88*100*E88+J88*K88*100)/F88*1000)</f>
        <v>9.0260134323649179</v>
      </c>
      <c r="H88" s="16">
        <v>22</v>
      </c>
      <c r="I88" s="16">
        <v>24</v>
      </c>
      <c r="J88" s="16">
        <f>AVERAGE(H88:I88)</f>
        <v>23</v>
      </c>
      <c r="K88" s="16">
        <v>10000</v>
      </c>
      <c r="L88" s="16"/>
      <c r="M88" s="17">
        <f t="shared" ref="M88:M90" si="66">(J88*K88)/(D88*E88+(J88*K88))</f>
        <v>0.53488372093023251</v>
      </c>
      <c r="N88" s="18">
        <f t="shared" ref="N88:N91" si="67">J88*K88/(D88*E88)</f>
        <v>1.1499999999999999</v>
      </c>
      <c r="O88" s="18">
        <f>dose!$H$47</f>
        <v>1.5773809523809523</v>
      </c>
      <c r="P88" s="23">
        <f t="shared" ref="P88" si="68">N88/O88</f>
        <v>0.72905660377358483</v>
      </c>
      <c r="Q88" s="71">
        <f t="shared" si="58"/>
        <v>1.471571906354515</v>
      </c>
      <c r="R88" s="31"/>
      <c r="S88" s="6"/>
      <c r="T88" s="6" t="e">
        <f>AVERAGE(R88:S88)</f>
        <v>#DIV/0!</v>
      </c>
      <c r="U88" s="32"/>
      <c r="V88" s="49" t="e">
        <f>LOG10((U88*100*T88+Y88*Z88*100)/F88*1000)</f>
        <v>#DIV/0!</v>
      </c>
      <c r="W88" s="36"/>
      <c r="X88" s="36"/>
      <c r="Y88" s="41" t="e">
        <f>AVERAGE(W88:X88)</f>
        <v>#DIV/0!</v>
      </c>
      <c r="Z88" s="37"/>
    </row>
    <row r="89" spans="1:26" x14ac:dyDescent="0.2">
      <c r="A89" s="14" t="s">
        <v>51</v>
      </c>
      <c r="B89">
        <v>15</v>
      </c>
      <c r="C89">
        <v>16</v>
      </c>
      <c r="D89">
        <f>AVERAGE(B89:C89)</f>
        <v>15.5</v>
      </c>
      <c r="E89" s="14">
        <v>10000</v>
      </c>
      <c r="F89" s="14">
        <f>1785.3-1746.7</f>
        <v>38.599999999999909</v>
      </c>
      <c r="G89" s="15">
        <f t="shared" si="65"/>
        <v>8.9574807396785214</v>
      </c>
      <c r="H89" s="16">
        <v>19</v>
      </c>
      <c r="I89" s="16">
        <v>20</v>
      </c>
      <c r="J89" s="16">
        <f>AVERAGE(H89:I89)</f>
        <v>19.5</v>
      </c>
      <c r="K89" s="16">
        <v>10000</v>
      </c>
      <c r="L89" s="16"/>
      <c r="M89" s="17">
        <f t="shared" si="66"/>
        <v>0.55714285714285716</v>
      </c>
      <c r="N89" s="18">
        <f t="shared" si="67"/>
        <v>1.2580645161290323</v>
      </c>
      <c r="O89" s="18">
        <f>dose!$H$47</f>
        <v>1.5773809523809523</v>
      </c>
      <c r="P89" s="23">
        <f>N89/O89</f>
        <v>0.79756542909312234</v>
      </c>
      <c r="Q89" s="71">
        <f t="shared" si="58"/>
        <v>1.3451676528599603</v>
      </c>
    </row>
    <row r="90" spans="1:26" x14ac:dyDescent="0.2">
      <c r="A90" s="14" t="s">
        <v>49</v>
      </c>
      <c r="B90">
        <v>19</v>
      </c>
      <c r="C90">
        <v>22</v>
      </c>
      <c r="D90">
        <f>AVERAGE(B90:C90)</f>
        <v>20.5</v>
      </c>
      <c r="E90" s="14">
        <v>100</v>
      </c>
      <c r="F90" s="14">
        <f>1799.4-1768.4</f>
        <v>31</v>
      </c>
      <c r="G90" s="15">
        <f t="shared" si="65"/>
        <v>7.249000995659971</v>
      </c>
      <c r="H90" s="16">
        <v>33</v>
      </c>
      <c r="I90" s="16">
        <v>36</v>
      </c>
      <c r="J90" s="16">
        <f>AVERAGE(H90:I90)</f>
        <v>34.5</v>
      </c>
      <c r="K90" s="16">
        <v>100</v>
      </c>
      <c r="L90" s="16"/>
      <c r="M90" s="17">
        <f t="shared" si="66"/>
        <v>0.62727272727272732</v>
      </c>
      <c r="N90" s="18">
        <f t="shared" si="67"/>
        <v>1.6829268292682926</v>
      </c>
      <c r="O90" s="18">
        <f>dose!$H$47</f>
        <v>1.5773809523809523</v>
      </c>
      <c r="P90" s="23">
        <f t="shared" ref="P90:P91" si="69">N90/O90</f>
        <v>1.0669121030832949</v>
      </c>
      <c r="Q90" s="71">
        <f t="shared" si="58"/>
        <v>1.0055741360089185</v>
      </c>
    </row>
    <row r="91" spans="1:26" x14ac:dyDescent="0.2">
      <c r="A91" s="14" t="s">
        <v>50</v>
      </c>
      <c r="B91">
        <v>9</v>
      </c>
      <c r="C91">
        <v>14</v>
      </c>
      <c r="D91">
        <f>AVERAGE(B91:C91)</f>
        <v>11.5</v>
      </c>
      <c r="E91" s="14">
        <v>1</v>
      </c>
      <c r="F91" s="14">
        <f>1756.8-1692</f>
        <v>64.799999999999955</v>
      </c>
      <c r="G91" s="15">
        <f t="shared" si="65"/>
        <v>4.5686362358410131</v>
      </c>
      <c r="H91" s="16">
        <v>10</v>
      </c>
      <c r="I91" s="16">
        <v>15</v>
      </c>
      <c r="J91" s="16">
        <f>AVERAGE(H91:I91)</f>
        <v>12.5</v>
      </c>
      <c r="K91" s="16">
        <v>1</v>
      </c>
      <c r="L91" s="16"/>
      <c r="M91" s="17">
        <f>(J91*K91)/(D91*E91)</f>
        <v>1.0869565217391304</v>
      </c>
      <c r="N91" s="18">
        <f t="shared" si="67"/>
        <v>1.0869565217391304</v>
      </c>
      <c r="O91" s="18">
        <f>dose!$H$47</f>
        <v>1.5773809523809523</v>
      </c>
      <c r="P91" s="23">
        <f t="shared" si="69"/>
        <v>0.68908941755537323</v>
      </c>
      <c r="Q91" s="71">
        <f t="shared" si="58"/>
        <v>1.5569230769230769</v>
      </c>
    </row>
    <row r="92" spans="1:26" x14ac:dyDescent="0.2">
      <c r="Q92" s="71"/>
    </row>
    <row r="93" spans="1:26" ht="51" x14ac:dyDescent="0.2">
      <c r="A93" s="10" t="s">
        <v>83</v>
      </c>
      <c r="B93" s="67" t="s">
        <v>75</v>
      </c>
      <c r="C93" s="67"/>
      <c r="D93" s="11" t="s">
        <v>42</v>
      </c>
      <c r="E93" s="11" t="s">
        <v>43</v>
      </c>
      <c r="F93" s="11" t="s">
        <v>44</v>
      </c>
      <c r="G93" s="12" t="s">
        <v>45</v>
      </c>
      <c r="H93" s="67" t="s">
        <v>76</v>
      </c>
      <c r="I93" s="67"/>
      <c r="J93" s="11" t="s">
        <v>42</v>
      </c>
      <c r="K93" s="11" t="s">
        <v>43</v>
      </c>
      <c r="L93" s="11"/>
      <c r="M93" s="13" t="s">
        <v>70</v>
      </c>
      <c r="N93" s="20" t="s">
        <v>79</v>
      </c>
      <c r="O93" s="20" t="s">
        <v>80</v>
      </c>
      <c r="P93" s="12" t="s">
        <v>72</v>
      </c>
      <c r="Q93" s="70" t="s">
        <v>97</v>
      </c>
      <c r="R93" s="68" t="s">
        <v>90</v>
      </c>
      <c r="S93" s="69"/>
      <c r="T93" s="27" t="s">
        <v>42</v>
      </c>
      <c r="U93" s="28" t="s">
        <v>43</v>
      </c>
      <c r="V93" s="44" t="s">
        <v>45</v>
      </c>
      <c r="W93" s="69" t="s">
        <v>91</v>
      </c>
      <c r="X93" s="69"/>
      <c r="Y93" s="39" t="s">
        <v>42</v>
      </c>
      <c r="Z93" s="28" t="s">
        <v>43</v>
      </c>
    </row>
    <row r="94" spans="1:26" x14ac:dyDescent="0.2">
      <c r="A94" s="14" t="s">
        <v>85</v>
      </c>
      <c r="D94" t="e">
        <f>AVERAGE(B94:C94)</f>
        <v>#DIV/0!</v>
      </c>
      <c r="E94" s="14"/>
      <c r="F94" s="14"/>
      <c r="G94" s="15" t="e">
        <f>LOG10((D94*100*E94+J94*K94*100)/F94*1000)</f>
        <v>#DIV/0!</v>
      </c>
      <c r="H94" s="16"/>
      <c r="I94" s="16"/>
      <c r="J94" s="16" t="e">
        <f>AVERAGE(H94:I94)</f>
        <v>#DIV/0!</v>
      </c>
      <c r="K94" s="16"/>
      <c r="L94" s="16"/>
      <c r="M94" s="17" t="e">
        <f>(J94*K94)/(D94*E94+(J94*K94))</f>
        <v>#DIV/0!</v>
      </c>
      <c r="N94" s="18" t="e">
        <f>J94*K94/(D94*E94)</f>
        <v>#DIV/0!</v>
      </c>
      <c r="O94" s="18">
        <f>dose!$H$47</f>
        <v>1.5773809523809523</v>
      </c>
      <c r="P94" s="23" t="e">
        <f>N94/O94</f>
        <v>#DIV/0!</v>
      </c>
      <c r="Q94" s="71"/>
      <c r="R94" s="29"/>
      <c r="T94" t="e">
        <f>AVERAGE(R94:S94)</f>
        <v>#DIV/0!</v>
      </c>
      <c r="U94" s="30"/>
      <c r="V94" s="49" t="e">
        <f>LOG10((U94*100*T94+Y94*Z94*100)/F94*1000)</f>
        <v>#DIV/0!</v>
      </c>
      <c r="W94" s="16"/>
      <c r="X94" s="16"/>
      <c r="Y94" s="40" t="e">
        <f>AVERAGE(W94:X94)</f>
        <v>#DIV/0!</v>
      </c>
      <c r="Z94" s="34"/>
    </row>
    <row r="95" spans="1:26" x14ac:dyDescent="0.2">
      <c r="A95" s="14" t="s">
        <v>48</v>
      </c>
      <c r="B95">
        <v>2</v>
      </c>
      <c r="C95">
        <v>5</v>
      </c>
      <c r="D95">
        <f>AVERAGE(B95:C95)</f>
        <v>3.5</v>
      </c>
      <c r="E95" s="14">
        <v>100</v>
      </c>
      <c r="F95" s="14">
        <f>1640.7-1624.8</f>
        <v>15.900000000000091</v>
      </c>
      <c r="G95" s="15">
        <f t="shared" ref="G95:G98" si="70">LOG10((D95*100*E95+J95*K95*100)/F95*1000)</f>
        <v>7.4843446142818095</v>
      </c>
      <c r="H95" s="16">
        <v>43</v>
      </c>
      <c r="I95" s="16">
        <v>47</v>
      </c>
      <c r="J95" s="16">
        <f>AVERAGE(H95:I95)</f>
        <v>45</v>
      </c>
      <c r="K95" s="16">
        <v>100</v>
      </c>
      <c r="L95" s="16"/>
      <c r="M95" s="17">
        <f t="shared" ref="M95:M97" si="71">(J95*K95)/(D95*E95+(J95*K95))</f>
        <v>0.92783505154639179</v>
      </c>
      <c r="N95" s="18">
        <f t="shared" ref="N95:N97" si="72">J95*K95/(D95*E95)</f>
        <v>12.857142857142858</v>
      </c>
      <c r="O95" s="18">
        <f>dose!$H$47</f>
        <v>1.5773809523809523</v>
      </c>
      <c r="P95" s="23">
        <f t="shared" ref="P95" si="73">N95/O95</f>
        <v>8.1509433962264151</v>
      </c>
      <c r="Q95" s="71">
        <f t="shared" si="58"/>
        <v>0.13162393162393163</v>
      </c>
      <c r="R95" s="31">
        <v>32</v>
      </c>
      <c r="S95" s="6">
        <v>36</v>
      </c>
      <c r="T95" s="6">
        <f>AVERAGE(R95:S95)</f>
        <v>34</v>
      </c>
      <c r="U95" s="32">
        <v>100</v>
      </c>
      <c r="V95" s="49">
        <f>LOG10((U95*100*T95+Y95*Z95*100)/F95*1000)</f>
        <v>7.33642197075282</v>
      </c>
      <c r="W95" s="36">
        <v>1</v>
      </c>
      <c r="X95" s="36">
        <v>0</v>
      </c>
      <c r="Y95" s="41">
        <f>AVERAGE(W95:X95)</f>
        <v>0.5</v>
      </c>
      <c r="Z95" s="37">
        <v>100</v>
      </c>
    </row>
    <row r="96" spans="1:26" x14ac:dyDescent="0.2">
      <c r="A96" s="14" t="s">
        <v>51</v>
      </c>
      <c r="B96">
        <v>14</v>
      </c>
      <c r="C96">
        <v>22</v>
      </c>
      <c r="D96">
        <f>AVERAGE(B96:C96)</f>
        <v>18</v>
      </c>
      <c r="E96" s="14">
        <v>1000</v>
      </c>
      <c r="F96" s="14">
        <f>1649-1613.9</f>
        <v>35.099999999999909</v>
      </c>
      <c r="G96" s="15">
        <f t="shared" si="70"/>
        <v>7.8349041252457834</v>
      </c>
      <c r="H96" s="16">
        <v>5</v>
      </c>
      <c r="I96" s="16">
        <v>7</v>
      </c>
      <c r="J96" s="16">
        <f>AVERAGE(H96:I96)</f>
        <v>6</v>
      </c>
      <c r="K96" s="16">
        <v>1000</v>
      </c>
      <c r="L96" s="16"/>
      <c r="M96" s="17">
        <f t="shared" si="71"/>
        <v>0.25</v>
      </c>
      <c r="N96" s="18">
        <f t="shared" si="72"/>
        <v>0.33333333333333331</v>
      </c>
      <c r="O96" s="18">
        <f>dose!$H$47</f>
        <v>1.5773809523809523</v>
      </c>
      <c r="P96" s="23">
        <f>N96/O96</f>
        <v>0.21132075471698114</v>
      </c>
      <c r="Q96" s="71">
        <f t="shared" si="58"/>
        <v>5.0769230769230766</v>
      </c>
    </row>
    <row r="97" spans="1:26" x14ac:dyDescent="0.2">
      <c r="A97" s="14" t="s">
        <v>49</v>
      </c>
      <c r="B97">
        <v>6</v>
      </c>
      <c r="C97">
        <v>14</v>
      </c>
      <c r="D97">
        <f>AVERAGE(B97:C97)</f>
        <v>10</v>
      </c>
      <c r="E97" s="14">
        <v>1000</v>
      </c>
      <c r="F97" s="14">
        <f>1744.9-1702.9</f>
        <v>42</v>
      </c>
      <c r="G97" s="15">
        <f t="shared" si="70"/>
        <v>7.8538719643217618</v>
      </c>
      <c r="H97" s="16">
        <v>20</v>
      </c>
      <c r="I97" s="16">
        <v>20</v>
      </c>
      <c r="J97" s="16">
        <f>AVERAGE(H97:I97)</f>
        <v>20</v>
      </c>
      <c r="K97" s="16">
        <v>1000</v>
      </c>
      <c r="L97" s="16"/>
      <c r="M97" s="17">
        <f t="shared" si="71"/>
        <v>0.66666666666666663</v>
      </c>
      <c r="N97" s="18">
        <f t="shared" si="72"/>
        <v>2</v>
      </c>
      <c r="O97" s="18">
        <f>dose!$H$47</f>
        <v>1.5773809523809523</v>
      </c>
      <c r="P97" s="23">
        <f t="shared" ref="P97:P98" si="74">N97/O97</f>
        <v>1.2679245283018867</v>
      </c>
      <c r="Q97" s="71">
        <f t="shared" si="58"/>
        <v>0.84615384615384615</v>
      </c>
    </row>
    <row r="98" spans="1:26" x14ac:dyDescent="0.2">
      <c r="A98" s="14" t="s">
        <v>50</v>
      </c>
      <c r="B98">
        <v>1</v>
      </c>
      <c r="C98">
        <v>0</v>
      </c>
      <c r="D98">
        <f>AVERAGE(B98:C98)</f>
        <v>0.5</v>
      </c>
      <c r="E98" s="14">
        <v>1</v>
      </c>
      <c r="F98" s="14">
        <f>1720.6-1632.9</f>
        <v>87.699999999999818</v>
      </c>
      <c r="G98" s="15">
        <f t="shared" si="70"/>
        <v>3.0570004066339602</v>
      </c>
      <c r="H98" s="16">
        <v>1</v>
      </c>
      <c r="I98" s="16">
        <v>0</v>
      </c>
      <c r="J98" s="16">
        <f>AVERAGE(H98:I98)</f>
        <v>0.5</v>
      </c>
      <c r="K98" s="16">
        <v>1</v>
      </c>
      <c r="L98" s="16"/>
      <c r="M98" s="17">
        <f>(J98*K98)/(D98*E98)</f>
        <v>1</v>
      </c>
      <c r="N98" s="18">
        <f>J98*K98/(D98*E98)</f>
        <v>1</v>
      </c>
      <c r="O98" s="18">
        <f>dose!$H$47</f>
        <v>1.5773809523809523</v>
      </c>
      <c r="P98" s="23">
        <f t="shared" si="74"/>
        <v>0.63396226415094337</v>
      </c>
      <c r="Q98" s="71">
        <f t="shared" si="58"/>
        <v>1.6923076923076923</v>
      </c>
    </row>
    <row r="99" spans="1:26" x14ac:dyDescent="0.2">
      <c r="Q99" s="71"/>
    </row>
    <row r="100" spans="1:26" ht="51" x14ac:dyDescent="0.2">
      <c r="A100" s="10" t="s">
        <v>84</v>
      </c>
      <c r="B100" s="67" t="s">
        <v>75</v>
      </c>
      <c r="C100" s="67"/>
      <c r="D100" s="11" t="s">
        <v>42</v>
      </c>
      <c r="E100" s="11" t="s">
        <v>43</v>
      </c>
      <c r="F100" s="11" t="s">
        <v>44</v>
      </c>
      <c r="G100" s="12" t="s">
        <v>45</v>
      </c>
      <c r="H100" s="67" t="s">
        <v>76</v>
      </c>
      <c r="I100" s="67"/>
      <c r="J100" s="11" t="s">
        <v>42</v>
      </c>
      <c r="K100" s="11" t="s">
        <v>43</v>
      </c>
      <c r="L100" s="11"/>
      <c r="M100" s="13" t="s">
        <v>70</v>
      </c>
      <c r="N100" s="20" t="s">
        <v>79</v>
      </c>
      <c r="O100" s="20" t="s">
        <v>80</v>
      </c>
      <c r="P100" s="12" t="s">
        <v>72</v>
      </c>
      <c r="Q100" s="70" t="s">
        <v>97</v>
      </c>
      <c r="R100" s="68" t="s">
        <v>90</v>
      </c>
      <c r="S100" s="69"/>
      <c r="T100" s="27" t="s">
        <v>42</v>
      </c>
      <c r="U100" s="28" t="s">
        <v>43</v>
      </c>
      <c r="V100" s="44" t="s">
        <v>45</v>
      </c>
      <c r="W100" s="69" t="s">
        <v>91</v>
      </c>
      <c r="X100" s="69"/>
      <c r="Y100" s="39" t="s">
        <v>42</v>
      </c>
      <c r="Z100" s="28" t="s">
        <v>43</v>
      </c>
    </row>
    <row r="101" spans="1:26" x14ac:dyDescent="0.2">
      <c r="A101" s="14" t="s">
        <v>47</v>
      </c>
      <c r="B101">
        <v>15</v>
      </c>
      <c r="C101">
        <v>18</v>
      </c>
      <c r="D101">
        <f>AVERAGE(B101:C101)</f>
        <v>16.5</v>
      </c>
      <c r="E101" s="14">
        <v>1000</v>
      </c>
      <c r="F101" s="14">
        <f>1713-1687.8</f>
        <v>25.200000000000045</v>
      </c>
      <c r="G101" s="15">
        <f>LOG10((D101*100*E101+J101*K101*100)/F101*1000)</f>
        <v>8.1549019599857431</v>
      </c>
      <c r="H101" s="16">
        <v>21</v>
      </c>
      <c r="I101" s="16">
        <v>18</v>
      </c>
      <c r="J101" s="16">
        <f>AVERAGE(H101:I101)</f>
        <v>19.5</v>
      </c>
      <c r="K101" s="16">
        <v>1000</v>
      </c>
      <c r="L101" s="16"/>
      <c r="M101" s="17">
        <f>(J101*K101)/(D101*E101+(J101*K101))</f>
        <v>0.54166666666666663</v>
      </c>
      <c r="N101" s="18">
        <f>J101*K101/(D101*E101)</f>
        <v>1.1818181818181819</v>
      </c>
      <c r="O101" s="18">
        <f>dose!$H$47</f>
        <v>1.5773809523809523</v>
      </c>
      <c r="P101" s="23">
        <f>N101/O101</f>
        <v>0.74922813036020586</v>
      </c>
      <c r="Q101" s="71">
        <f t="shared" si="58"/>
        <v>1.4319526627218935</v>
      </c>
      <c r="R101" s="29"/>
      <c r="T101" t="e">
        <f>AVERAGE(R101:S101)</f>
        <v>#DIV/0!</v>
      </c>
      <c r="U101" s="30"/>
      <c r="V101" s="49" t="e">
        <f>LOG10((U101*100*T101+Y101*Z101*100)/F101*1000)</f>
        <v>#DIV/0!</v>
      </c>
      <c r="W101" s="16"/>
      <c r="X101" s="16"/>
      <c r="Y101" s="40" t="e">
        <f>AVERAGE(W101:X101)</f>
        <v>#DIV/0!</v>
      </c>
      <c r="Z101" s="34"/>
    </row>
    <row r="102" spans="1:26" x14ac:dyDescent="0.2">
      <c r="A102" s="14" t="s">
        <v>48</v>
      </c>
      <c r="B102">
        <v>10</v>
      </c>
      <c r="C102">
        <v>8</v>
      </c>
      <c r="D102">
        <f>AVERAGE(B102:C102)</f>
        <v>9</v>
      </c>
      <c r="E102" s="14">
        <v>10000</v>
      </c>
      <c r="F102" s="14">
        <f>1763.3-1721.5</f>
        <v>41.799999999999955</v>
      </c>
      <c r="G102" s="15">
        <f t="shared" ref="G102:G105" si="75">LOG10((D102*100*E102+J102*K102*100)/F102*1000)</f>
        <v>8.7310062363363272</v>
      </c>
      <c r="H102" s="16">
        <v>14</v>
      </c>
      <c r="I102" s="16">
        <v>13</v>
      </c>
      <c r="J102" s="16">
        <f>AVERAGE(H102:I102)</f>
        <v>13.5</v>
      </c>
      <c r="K102" s="16">
        <v>10000</v>
      </c>
      <c r="L102" s="16"/>
      <c r="M102" s="17">
        <f t="shared" ref="M102:M104" si="76">(J102*K102)/(D102*E102+(J102*K102))</f>
        <v>0.6</v>
      </c>
      <c r="N102" s="18">
        <f t="shared" ref="N102:N105" si="77">J102*K102/(D102*E102)</f>
        <v>1.5</v>
      </c>
      <c r="O102" s="18">
        <f>dose!$H$47</f>
        <v>1.5773809523809523</v>
      </c>
      <c r="P102" s="23">
        <f t="shared" ref="P102" si="78">N102/O102</f>
        <v>0.95094339622641511</v>
      </c>
      <c r="Q102" s="71">
        <f t="shared" si="58"/>
        <v>1.1282051282051282</v>
      </c>
      <c r="R102" s="31"/>
      <c r="S102" s="6"/>
      <c r="T102" s="6" t="e">
        <f>AVERAGE(R102:S102)</f>
        <v>#DIV/0!</v>
      </c>
      <c r="U102" s="32"/>
      <c r="V102" s="49" t="e">
        <f>LOG10((U102*100*T102+Y102*Z102*100)/F102*1000)</f>
        <v>#DIV/0!</v>
      </c>
      <c r="W102" s="36"/>
      <c r="X102" s="36"/>
      <c r="Y102" s="41" t="e">
        <f>AVERAGE(W102:X102)</f>
        <v>#DIV/0!</v>
      </c>
      <c r="Z102" s="37"/>
    </row>
    <row r="103" spans="1:26" x14ac:dyDescent="0.2">
      <c r="A103" s="14" t="s">
        <v>51</v>
      </c>
      <c r="B103">
        <v>13</v>
      </c>
      <c r="C103">
        <v>22</v>
      </c>
      <c r="D103">
        <f>AVERAGE(B103:C103)</f>
        <v>17.5</v>
      </c>
      <c r="E103" s="14">
        <v>1000</v>
      </c>
      <c r="F103" s="14">
        <f>1867.7-1843.4</f>
        <v>24.299999999999955</v>
      </c>
      <c r="G103" s="15">
        <f t="shared" si="75"/>
        <v>8.3176851045203506</v>
      </c>
      <c r="H103" s="16">
        <v>39</v>
      </c>
      <c r="I103" s="16">
        <v>27</v>
      </c>
      <c r="J103" s="16">
        <f>AVERAGE(H103:I103)</f>
        <v>33</v>
      </c>
      <c r="K103" s="16">
        <v>1000</v>
      </c>
      <c r="L103" s="16"/>
      <c r="M103" s="17">
        <f t="shared" si="76"/>
        <v>0.65346534653465349</v>
      </c>
      <c r="N103" s="18">
        <f t="shared" si="77"/>
        <v>1.8857142857142857</v>
      </c>
      <c r="O103" s="18">
        <f>dose!$H$47</f>
        <v>1.5773809523809523</v>
      </c>
      <c r="P103" s="23">
        <f>N103/O103</f>
        <v>1.1954716981132076</v>
      </c>
      <c r="Q103" s="71">
        <f t="shared" si="58"/>
        <v>0.89743589743589736</v>
      </c>
    </row>
    <row r="104" spans="1:26" x14ac:dyDescent="0.2">
      <c r="A104" s="14" t="s">
        <v>49</v>
      </c>
      <c r="B104">
        <v>36</v>
      </c>
      <c r="C104">
        <v>44</v>
      </c>
      <c r="D104">
        <f>AVERAGE(B104:C104)</f>
        <v>40</v>
      </c>
      <c r="E104" s="14">
        <v>100</v>
      </c>
      <c r="F104" s="14">
        <f>1778.4-1757.8</f>
        <v>20.600000000000136</v>
      </c>
      <c r="G104" s="15">
        <f>LOG10((D104*100*E104+J104*K104*100)/F104*1000)</f>
        <v>7.6104120656927252</v>
      </c>
      <c r="H104" s="16">
        <v>46</v>
      </c>
      <c r="I104" s="16">
        <v>42</v>
      </c>
      <c r="J104" s="16">
        <f>AVERAGE(H104:I104)</f>
        <v>44</v>
      </c>
      <c r="K104" s="16">
        <v>100</v>
      </c>
      <c r="L104" s="16"/>
      <c r="M104" s="17">
        <f t="shared" si="76"/>
        <v>0.52380952380952384</v>
      </c>
      <c r="N104" s="18">
        <f t="shared" si="77"/>
        <v>1.1000000000000001</v>
      </c>
      <c r="O104" s="18">
        <f>dose!$H$47</f>
        <v>1.5773809523809523</v>
      </c>
      <c r="P104" s="23">
        <f t="shared" ref="P104:P105" si="79">N104/O104</f>
        <v>0.69735849056603783</v>
      </c>
      <c r="Q104" s="71">
        <f t="shared" si="58"/>
        <v>1.5384615384615383</v>
      </c>
    </row>
    <row r="105" spans="1:26" x14ac:dyDescent="0.2">
      <c r="A105" s="14" t="s">
        <v>50</v>
      </c>
      <c r="B105">
        <v>19</v>
      </c>
      <c r="C105">
        <v>13</v>
      </c>
      <c r="D105">
        <f>AVERAGE(B105:C105)</f>
        <v>16</v>
      </c>
      <c r="E105" s="14">
        <v>10</v>
      </c>
      <c r="F105" s="14">
        <f>1759.6-1668.7</f>
        <v>90.899999999999864</v>
      </c>
      <c r="G105" s="15">
        <f t="shared" si="75"/>
        <v>5.6542199734977689</v>
      </c>
      <c r="H105" s="16">
        <v>20</v>
      </c>
      <c r="I105" s="16">
        <v>30</v>
      </c>
      <c r="J105" s="16">
        <f>AVERAGE(H105:I105)</f>
        <v>25</v>
      </c>
      <c r="K105" s="16">
        <v>10</v>
      </c>
      <c r="L105" s="16"/>
      <c r="M105" s="17">
        <f>(J105*K105)/(D105*E105)</f>
        <v>1.5625</v>
      </c>
      <c r="N105" s="18">
        <f t="shared" si="77"/>
        <v>1.5625</v>
      </c>
      <c r="O105" s="18">
        <f>dose!$H$47</f>
        <v>1.5773809523809523</v>
      </c>
      <c r="P105" s="23">
        <f t="shared" si="79"/>
        <v>0.99056603773584906</v>
      </c>
      <c r="Q105" s="71">
        <f t="shared" si="58"/>
        <v>1.083076923076923</v>
      </c>
    </row>
  </sheetData>
  <mergeCells count="70">
    <mergeCell ref="AC37:AD37"/>
    <mergeCell ref="B1:C1"/>
    <mergeCell ref="H1:I1"/>
    <mergeCell ref="B8:C8"/>
    <mergeCell ref="H8:I8"/>
    <mergeCell ref="B15:C15"/>
    <mergeCell ref="H15:I15"/>
    <mergeCell ref="B22:C22"/>
    <mergeCell ref="H22:I22"/>
    <mergeCell ref="B29:C29"/>
    <mergeCell ref="H29:I29"/>
    <mergeCell ref="B37:C37"/>
    <mergeCell ref="H37:I37"/>
    <mergeCell ref="R22:S22"/>
    <mergeCell ref="W22:X22"/>
    <mergeCell ref="R29:S29"/>
    <mergeCell ref="B44:C44"/>
    <mergeCell ref="H44:I44"/>
    <mergeCell ref="B51:C51"/>
    <mergeCell ref="H51:I51"/>
    <mergeCell ref="B58:C58"/>
    <mergeCell ref="H58:I58"/>
    <mergeCell ref="B65:C65"/>
    <mergeCell ref="H65:I65"/>
    <mergeCell ref="B72:C72"/>
    <mergeCell ref="H72:I72"/>
    <mergeCell ref="B79:C79"/>
    <mergeCell ref="H79:I79"/>
    <mergeCell ref="B86:C86"/>
    <mergeCell ref="H86:I86"/>
    <mergeCell ref="B93:C93"/>
    <mergeCell ref="H93:I93"/>
    <mergeCell ref="B100:C100"/>
    <mergeCell ref="H100:I100"/>
    <mergeCell ref="W29:X29"/>
    <mergeCell ref="AC1:AD1"/>
    <mergeCell ref="AC8:AD8"/>
    <mergeCell ref="AC15:AD15"/>
    <mergeCell ref="AC22:AD22"/>
    <mergeCell ref="AC29:AD29"/>
    <mergeCell ref="R1:S1"/>
    <mergeCell ref="W1:X1"/>
    <mergeCell ref="R8:S8"/>
    <mergeCell ref="W8:X8"/>
    <mergeCell ref="R15:S15"/>
    <mergeCell ref="W15:X15"/>
    <mergeCell ref="R37:S37"/>
    <mergeCell ref="W37:X37"/>
    <mergeCell ref="R44:S44"/>
    <mergeCell ref="W44:X44"/>
    <mergeCell ref="R51:S51"/>
    <mergeCell ref="W51:X51"/>
    <mergeCell ref="R100:S100"/>
    <mergeCell ref="W100:X100"/>
    <mergeCell ref="R72:S72"/>
    <mergeCell ref="W72:X72"/>
    <mergeCell ref="R79:S79"/>
    <mergeCell ref="W79:X79"/>
    <mergeCell ref="R86:S86"/>
    <mergeCell ref="W86:X86"/>
    <mergeCell ref="AC44:AD44"/>
    <mergeCell ref="AC51:AD51"/>
    <mergeCell ref="AC58:AD58"/>
    <mergeCell ref="AC65:AD65"/>
    <mergeCell ref="R93:S93"/>
    <mergeCell ref="W93:X93"/>
    <mergeCell ref="R58:S58"/>
    <mergeCell ref="W58:X58"/>
    <mergeCell ref="R65:S65"/>
    <mergeCell ref="W65:X6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2022-10-19T15:41:03Z</dcterms:created>
  <dcterms:modified xsi:type="dcterms:W3CDTF">2023-10-16T20:07:58Z</dcterms:modified>
</cp:coreProperties>
</file>