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Mouse Colonization/"/>
    </mc:Choice>
  </mc:AlternateContent>
  <xr:revisionPtr revIDLastSave="0" documentId="13_ncr:1_{117FC68A-A013-5A4E-A24A-1C622FFBFBD1}" xr6:coauthVersionLast="47" xr6:coauthVersionMax="47" xr10:uidLastSave="{00000000-0000-0000-0000-000000000000}"/>
  <bookViews>
    <workbookView xWindow="32900" yWindow="5280" windowWidth="28800" windowHeight="17500" activeTab="1" xr2:uid="{05D28018-5EC7-B748-ACA7-09DD0AD3B70C}"/>
  </bookViews>
  <sheets>
    <sheet name="dose" sheetId="4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79" i="5" l="1"/>
  <c r="V78" i="5"/>
  <c r="V77" i="5"/>
  <c r="V54" i="5"/>
  <c r="V53" i="5"/>
  <c r="V52" i="5"/>
  <c r="V29" i="5"/>
  <c r="V28" i="5"/>
  <c r="V27" i="5"/>
  <c r="V4" i="5"/>
  <c r="V3" i="5"/>
  <c r="V2" i="5"/>
  <c r="S14" i="5" l="1"/>
  <c r="R14" i="4"/>
  <c r="R10" i="4"/>
  <c r="R6" i="4"/>
  <c r="P2" i="4"/>
  <c r="R2" i="4"/>
  <c r="O2" i="4" l="1"/>
  <c r="X13" i="5" l="1"/>
  <c r="X14" i="5" s="1"/>
  <c r="X12" i="5"/>
  <c r="P98" i="5"/>
  <c r="P99" i="5"/>
  <c r="P94" i="5"/>
  <c r="P92" i="5"/>
  <c r="P93" i="5"/>
  <c r="P87" i="5"/>
  <c r="P88" i="5"/>
  <c r="P89" i="5"/>
  <c r="P79" i="5"/>
  <c r="P82" i="5"/>
  <c r="P83" i="5"/>
  <c r="P84" i="5"/>
  <c r="P78" i="5"/>
  <c r="P54" i="5"/>
  <c r="P57" i="5"/>
  <c r="P58" i="5"/>
  <c r="P59" i="5"/>
  <c r="P62" i="5"/>
  <c r="P63" i="5"/>
  <c r="P64" i="5"/>
  <c r="P67" i="5"/>
  <c r="P68" i="5"/>
  <c r="P69" i="5"/>
  <c r="P72" i="5"/>
  <c r="P73" i="5"/>
  <c r="P74" i="5"/>
  <c r="P53" i="5"/>
  <c r="P49" i="5"/>
  <c r="P47" i="5"/>
  <c r="P48" i="5"/>
  <c r="P38" i="5"/>
  <c r="P39" i="5"/>
  <c r="P42" i="5"/>
  <c r="P43" i="5"/>
  <c r="P44" i="5"/>
  <c r="P37" i="5"/>
  <c r="P29" i="5"/>
  <c r="P28" i="5"/>
  <c r="P18" i="5"/>
  <c r="P19" i="5"/>
  <c r="P22" i="5"/>
  <c r="P23" i="5"/>
  <c r="P24" i="5"/>
  <c r="P3" i="5"/>
  <c r="P4" i="5"/>
  <c r="P7" i="5"/>
  <c r="P8" i="5"/>
  <c r="P9" i="5"/>
  <c r="P12" i="5"/>
  <c r="P13" i="5"/>
  <c r="P14" i="5"/>
  <c r="O14" i="5" s="1"/>
  <c r="P2" i="5"/>
  <c r="L5" i="4"/>
  <c r="L4" i="4"/>
  <c r="L3" i="4"/>
  <c r="L2" i="4"/>
  <c r="F99" i="5"/>
  <c r="M99" i="5" s="1"/>
  <c r="F98" i="5"/>
  <c r="M98" i="5" s="1"/>
  <c r="F97" i="5"/>
  <c r="M97" i="5" s="1"/>
  <c r="F94" i="5"/>
  <c r="M94" i="5" s="1"/>
  <c r="F93" i="5"/>
  <c r="M93" i="5" s="1"/>
  <c r="F92" i="5"/>
  <c r="M92" i="5" s="1"/>
  <c r="F89" i="5"/>
  <c r="M89" i="5" s="1"/>
  <c r="F88" i="5"/>
  <c r="M88" i="5" s="1"/>
  <c r="F87" i="5"/>
  <c r="M87" i="5" s="1"/>
  <c r="D87" i="5"/>
  <c r="Q87" i="5" s="1"/>
  <c r="F84" i="5"/>
  <c r="M84" i="5" s="1"/>
  <c r="F83" i="5"/>
  <c r="M83" i="5" s="1"/>
  <c r="F82" i="5"/>
  <c r="M82" i="5" s="1"/>
  <c r="F79" i="5"/>
  <c r="M79" i="5" s="1"/>
  <c r="F78" i="5"/>
  <c r="M78" i="5" s="1"/>
  <c r="F77" i="5"/>
  <c r="M77" i="5" s="1"/>
  <c r="F74" i="5"/>
  <c r="F73" i="5"/>
  <c r="M73" i="5" s="1"/>
  <c r="F72" i="5"/>
  <c r="M72" i="5" s="1"/>
  <c r="F69" i="5"/>
  <c r="M69" i="5" s="1"/>
  <c r="F68" i="5"/>
  <c r="M68" i="5" s="1"/>
  <c r="F67" i="5"/>
  <c r="M67" i="5" s="1"/>
  <c r="F64" i="5"/>
  <c r="M64" i="5" s="1"/>
  <c r="F63" i="5"/>
  <c r="M63" i="5" s="1"/>
  <c r="F62" i="5"/>
  <c r="M62" i="5" s="1"/>
  <c r="F59" i="5"/>
  <c r="F58" i="5"/>
  <c r="M58" i="5" s="1"/>
  <c r="F57" i="5"/>
  <c r="M57" i="5" s="1"/>
  <c r="F54" i="5"/>
  <c r="F53" i="5"/>
  <c r="M53" i="5" s="1"/>
  <c r="F52" i="5"/>
  <c r="M52" i="5" s="1"/>
  <c r="F49" i="5"/>
  <c r="F48" i="5"/>
  <c r="F47" i="5"/>
  <c r="M47" i="5" s="1"/>
  <c r="J42" i="5"/>
  <c r="F44" i="5"/>
  <c r="M44" i="5" s="1"/>
  <c r="F43" i="5"/>
  <c r="M43" i="5" s="1"/>
  <c r="F42" i="5"/>
  <c r="M42" i="5" s="1"/>
  <c r="F39" i="5"/>
  <c r="M39" i="5" s="1"/>
  <c r="F38" i="5"/>
  <c r="M38" i="5" s="1"/>
  <c r="F37" i="5"/>
  <c r="M37" i="5" s="1"/>
  <c r="F34" i="5"/>
  <c r="M34" i="5" s="1"/>
  <c r="F33" i="5"/>
  <c r="Z3" i="5" s="1"/>
  <c r="F32" i="5"/>
  <c r="M32" i="5" s="1"/>
  <c r="J28" i="5"/>
  <c r="F29" i="5"/>
  <c r="M29" i="5" s="1"/>
  <c r="F28" i="5"/>
  <c r="M28" i="5" s="1"/>
  <c r="F27" i="5"/>
  <c r="M27" i="5" s="1"/>
  <c r="F24" i="5"/>
  <c r="M24" i="5" s="1"/>
  <c r="F23" i="5"/>
  <c r="M23" i="5" s="1"/>
  <c r="F22" i="5"/>
  <c r="M22" i="5" s="1"/>
  <c r="F19" i="5"/>
  <c r="M19" i="5" s="1"/>
  <c r="F18" i="5"/>
  <c r="M18" i="5" s="1"/>
  <c r="F17" i="5"/>
  <c r="M17" i="5" s="1"/>
  <c r="F14" i="5"/>
  <c r="M14" i="5" s="1"/>
  <c r="F13" i="5"/>
  <c r="M13" i="5" s="1"/>
  <c r="F12" i="5"/>
  <c r="M12" i="5" s="1"/>
  <c r="F9" i="5"/>
  <c r="M9" i="5" s="1"/>
  <c r="F8" i="5"/>
  <c r="M8" i="5" s="1"/>
  <c r="F7" i="5"/>
  <c r="M7" i="5" s="1"/>
  <c r="J99" i="5"/>
  <c r="D99" i="5"/>
  <c r="R99" i="5" s="1"/>
  <c r="S99" i="5" s="1"/>
  <c r="J98" i="5"/>
  <c r="D98" i="5"/>
  <c r="J97" i="5"/>
  <c r="D97" i="5"/>
  <c r="J94" i="5"/>
  <c r="D94" i="5"/>
  <c r="J93" i="5"/>
  <c r="D93" i="5"/>
  <c r="J92" i="5"/>
  <c r="D92" i="5"/>
  <c r="J89" i="5"/>
  <c r="D89" i="5"/>
  <c r="J88" i="5"/>
  <c r="D88" i="5"/>
  <c r="J87" i="5"/>
  <c r="J84" i="5"/>
  <c r="D84" i="5"/>
  <c r="R84" i="5" s="1"/>
  <c r="S84" i="5" s="1"/>
  <c r="J83" i="5"/>
  <c r="D83" i="5"/>
  <c r="J82" i="5"/>
  <c r="D82" i="5"/>
  <c r="J79" i="5"/>
  <c r="D79" i="5"/>
  <c r="R79" i="5" s="1"/>
  <c r="S79" i="5" s="1"/>
  <c r="J78" i="5"/>
  <c r="D78" i="5"/>
  <c r="G78" i="5" s="1"/>
  <c r="J77" i="5"/>
  <c r="D77" i="5"/>
  <c r="J74" i="5"/>
  <c r="D74" i="5"/>
  <c r="J73" i="5"/>
  <c r="D73" i="5"/>
  <c r="J72" i="5"/>
  <c r="D72" i="5"/>
  <c r="J69" i="5"/>
  <c r="D69" i="5"/>
  <c r="R69" i="5" s="1"/>
  <c r="S69" i="5" s="1"/>
  <c r="J68" i="5"/>
  <c r="D68" i="5"/>
  <c r="J67" i="5"/>
  <c r="D67" i="5"/>
  <c r="J64" i="5"/>
  <c r="D64" i="5"/>
  <c r="J63" i="5"/>
  <c r="D63" i="5"/>
  <c r="Q63" i="5" s="1"/>
  <c r="J62" i="5"/>
  <c r="D62" i="5"/>
  <c r="J59" i="5"/>
  <c r="D59" i="5"/>
  <c r="Q59" i="5" s="1"/>
  <c r="J58" i="5"/>
  <c r="D58" i="5"/>
  <c r="J57" i="5"/>
  <c r="D57" i="5"/>
  <c r="J54" i="5"/>
  <c r="D54" i="5"/>
  <c r="J53" i="5"/>
  <c r="D53" i="5"/>
  <c r="J52" i="5"/>
  <c r="D52" i="5"/>
  <c r="Q52" i="5" s="1"/>
  <c r="F4" i="5"/>
  <c r="Z2" i="5" s="1"/>
  <c r="F3" i="5"/>
  <c r="M3" i="5" s="1"/>
  <c r="F2" i="5"/>
  <c r="M2" i="5" s="1"/>
  <c r="J49" i="5"/>
  <c r="D49" i="5"/>
  <c r="Q49" i="5" s="1"/>
  <c r="J48" i="5"/>
  <c r="D48" i="5"/>
  <c r="J47" i="5"/>
  <c r="D47" i="5"/>
  <c r="J44" i="5"/>
  <c r="D44" i="5"/>
  <c r="R44" i="5" s="1"/>
  <c r="S44" i="5" s="1"/>
  <c r="J43" i="5"/>
  <c r="D43" i="5"/>
  <c r="G43" i="5" s="1"/>
  <c r="D42" i="5"/>
  <c r="J39" i="5"/>
  <c r="D39" i="5"/>
  <c r="J38" i="5"/>
  <c r="D38" i="5"/>
  <c r="J37" i="5"/>
  <c r="D37" i="5"/>
  <c r="Q37" i="5" s="1"/>
  <c r="J34" i="5"/>
  <c r="D34" i="5"/>
  <c r="R34" i="5" s="1"/>
  <c r="J33" i="5"/>
  <c r="D33" i="5"/>
  <c r="J32" i="5"/>
  <c r="D32" i="5"/>
  <c r="J29" i="5"/>
  <c r="D29" i="5"/>
  <c r="R29" i="5" s="1"/>
  <c r="S29" i="5" s="1"/>
  <c r="D28" i="5"/>
  <c r="J27" i="5"/>
  <c r="D27" i="5"/>
  <c r="Q27" i="5" s="1"/>
  <c r="J12" i="5"/>
  <c r="J24" i="5"/>
  <c r="D24" i="5"/>
  <c r="J23" i="5"/>
  <c r="D23" i="5"/>
  <c r="Q23" i="5" s="1"/>
  <c r="J22" i="5"/>
  <c r="D22" i="5"/>
  <c r="Q22" i="5" s="1"/>
  <c r="J19" i="5"/>
  <c r="D19" i="5"/>
  <c r="R19" i="5" s="1"/>
  <c r="S19" i="5" s="1"/>
  <c r="J18" i="5"/>
  <c r="D18" i="5"/>
  <c r="Q18" i="5" s="1"/>
  <c r="J17" i="5"/>
  <c r="D17" i="5"/>
  <c r="G17" i="5" s="1"/>
  <c r="J14" i="5"/>
  <c r="D14" i="5"/>
  <c r="J13" i="5"/>
  <c r="D13" i="5"/>
  <c r="Q13" i="5" s="1"/>
  <c r="D12" i="5"/>
  <c r="Q12" i="5" s="1"/>
  <c r="J9" i="5"/>
  <c r="D9" i="5"/>
  <c r="J8" i="5"/>
  <c r="D8" i="5"/>
  <c r="Q8" i="5" s="1"/>
  <c r="J7" i="5"/>
  <c r="D7" i="5"/>
  <c r="Q7" i="5" s="1"/>
  <c r="J4" i="5"/>
  <c r="J3" i="5"/>
  <c r="J2" i="5"/>
  <c r="R74" i="5" l="1"/>
  <c r="S74" i="5" s="1"/>
  <c r="M49" i="5"/>
  <c r="R49" i="5"/>
  <c r="S49" i="5" s="1"/>
  <c r="M54" i="5"/>
  <c r="R54" i="5"/>
  <c r="S54" i="5" s="1"/>
  <c r="G47" i="5"/>
  <c r="G89" i="5"/>
  <c r="R89" i="5"/>
  <c r="S89" i="5" s="1"/>
  <c r="G64" i="5"/>
  <c r="R64" i="5"/>
  <c r="S64" i="5" s="1"/>
  <c r="Q24" i="5"/>
  <c r="R24" i="5"/>
  <c r="S24" i="5" s="1"/>
  <c r="N9" i="5"/>
  <c r="R9" i="5"/>
  <c r="S9" i="5" s="1"/>
  <c r="G39" i="5"/>
  <c r="R39" i="5"/>
  <c r="S39" i="5" s="1"/>
  <c r="R59" i="5"/>
  <c r="S59" i="5" s="1"/>
  <c r="G94" i="5"/>
  <c r="R94" i="5"/>
  <c r="S94" i="5" s="1"/>
  <c r="M74" i="5"/>
  <c r="G14" i="5"/>
  <c r="M48" i="5"/>
  <c r="M4" i="5"/>
  <c r="G28" i="5"/>
  <c r="M59" i="5"/>
  <c r="G88" i="5"/>
  <c r="G72" i="5"/>
  <c r="G97" i="5"/>
  <c r="O9" i="5"/>
  <c r="G44" i="5"/>
  <c r="G19" i="5"/>
  <c r="G33" i="5"/>
  <c r="G58" i="5"/>
  <c r="G84" i="5"/>
  <c r="M33" i="5"/>
  <c r="G92" i="5"/>
  <c r="G98" i="5"/>
  <c r="G29" i="5"/>
  <c r="Q19" i="5"/>
  <c r="O19" i="5" s="1"/>
  <c r="G32" i="5"/>
  <c r="G34" i="5"/>
  <c r="G38" i="5"/>
  <c r="G42" i="5"/>
  <c r="G53" i="5"/>
  <c r="G57" i="5"/>
  <c r="G67" i="5"/>
  <c r="G69" i="5"/>
  <c r="G73" i="5"/>
  <c r="G77" i="5"/>
  <c r="G79" i="5"/>
  <c r="G83" i="5"/>
  <c r="G87" i="5"/>
  <c r="G54" i="5"/>
  <c r="G62" i="5"/>
  <c r="G68" i="5"/>
  <c r="G74" i="5"/>
  <c r="G82" i="5"/>
  <c r="G48" i="5"/>
  <c r="N54" i="5"/>
  <c r="O54" i="5" s="1"/>
  <c r="N64" i="5"/>
  <c r="O64" i="5" s="1"/>
  <c r="G93" i="5"/>
  <c r="G99" i="5"/>
  <c r="Q97" i="5"/>
  <c r="Q89" i="5"/>
  <c r="Q83" i="5"/>
  <c r="Q77" i="5"/>
  <c r="Q69" i="5"/>
  <c r="Q57" i="5"/>
  <c r="Q43" i="5"/>
  <c r="Q29" i="5"/>
  <c r="Q17" i="5"/>
  <c r="Q9" i="5"/>
  <c r="N39" i="5"/>
  <c r="O39" i="5" s="1"/>
  <c r="N84" i="5"/>
  <c r="O84" i="5" s="1"/>
  <c r="N73" i="5"/>
  <c r="N78" i="5"/>
  <c r="Q94" i="5"/>
  <c r="Q88" i="5"/>
  <c r="Q82" i="5"/>
  <c r="Q74" i="5"/>
  <c r="Q68" i="5"/>
  <c r="Q62" i="5"/>
  <c r="Q54" i="5"/>
  <c r="Q48" i="5"/>
  <c r="Q42" i="5"/>
  <c r="Q34" i="5"/>
  <c r="Q28" i="5"/>
  <c r="Q14" i="5"/>
  <c r="N44" i="5"/>
  <c r="O44" i="5" s="1"/>
  <c r="N89" i="5"/>
  <c r="O89" i="5" s="1"/>
  <c r="N33" i="5"/>
  <c r="Q99" i="5"/>
  <c r="O99" i="5" s="1"/>
  <c r="Q93" i="5"/>
  <c r="Q79" i="5"/>
  <c r="Q73" i="5"/>
  <c r="Q67" i="5"/>
  <c r="Q53" i="5"/>
  <c r="Q47" i="5"/>
  <c r="Q39" i="5"/>
  <c r="Q33" i="5"/>
  <c r="N24" i="5"/>
  <c r="O24" i="5" s="1"/>
  <c r="N69" i="5"/>
  <c r="O69" i="5" s="1"/>
  <c r="G49" i="5"/>
  <c r="Q98" i="5"/>
  <c r="Q92" i="5"/>
  <c r="Q84" i="5"/>
  <c r="Q78" i="5"/>
  <c r="Q72" i="5"/>
  <c r="Q64" i="5"/>
  <c r="Q58" i="5"/>
  <c r="Q44" i="5"/>
  <c r="Q38" i="5"/>
  <c r="Q32" i="5"/>
  <c r="N29" i="5"/>
  <c r="O29" i="5" s="1"/>
  <c r="N79" i="5"/>
  <c r="O79" i="5" s="1"/>
  <c r="M4" i="4"/>
  <c r="N4" i="4" s="1"/>
  <c r="M2" i="4"/>
  <c r="N2" i="4"/>
  <c r="N99" i="5"/>
  <c r="N98" i="5"/>
  <c r="N97" i="5"/>
  <c r="N94" i="5"/>
  <c r="O94" i="5" s="1"/>
  <c r="N93" i="5"/>
  <c r="N92" i="5"/>
  <c r="N88" i="5"/>
  <c r="N87" i="5"/>
  <c r="N83" i="5"/>
  <c r="N82" i="5"/>
  <c r="N77" i="5"/>
  <c r="N74" i="5"/>
  <c r="O74" i="5" s="1"/>
  <c r="N72" i="5"/>
  <c r="N68" i="5"/>
  <c r="N67" i="5"/>
  <c r="G63" i="5"/>
  <c r="N63" i="5"/>
  <c r="N62" i="5"/>
  <c r="G59" i="5"/>
  <c r="N59" i="5"/>
  <c r="O59" i="5" s="1"/>
  <c r="N58" i="5"/>
  <c r="N57" i="5"/>
  <c r="G52" i="5"/>
  <c r="N53" i="5"/>
  <c r="N52" i="5"/>
  <c r="N49" i="5"/>
  <c r="O49" i="5" s="1"/>
  <c r="N48" i="5"/>
  <c r="N47" i="5"/>
  <c r="N43" i="5"/>
  <c r="N42" i="5"/>
  <c r="N38" i="5"/>
  <c r="G37" i="5"/>
  <c r="N34" i="5"/>
  <c r="O34" i="5" s="1"/>
  <c r="N32" i="5"/>
  <c r="G27" i="5"/>
  <c r="N28" i="5"/>
  <c r="N37" i="5"/>
  <c r="N27" i="5"/>
  <c r="G23" i="5"/>
  <c r="N8" i="5"/>
  <c r="G18" i="5"/>
  <c r="G24" i="5"/>
  <c r="N17" i="5"/>
  <c r="N7" i="5"/>
  <c r="G12" i="5"/>
  <c r="N22" i="5"/>
  <c r="G22" i="5"/>
  <c r="N23" i="5"/>
  <c r="N19" i="5"/>
  <c r="N18" i="5"/>
  <c r="G13" i="5"/>
  <c r="N13" i="5"/>
  <c r="N12" i="5"/>
  <c r="G7" i="5"/>
  <c r="G8" i="5"/>
  <c r="G9" i="5"/>
  <c r="L17" i="4"/>
  <c r="L16" i="4"/>
  <c r="L15" i="4"/>
  <c r="L14" i="4"/>
  <c r="M16" i="4" l="1"/>
  <c r="N16" i="4" s="1"/>
  <c r="M14" i="4"/>
  <c r="P14" i="4" l="1"/>
  <c r="N14" i="4"/>
  <c r="O14" i="4"/>
  <c r="L13" i="4"/>
  <c r="L12" i="4"/>
  <c r="L11" i="4"/>
  <c r="L10" i="4"/>
  <c r="M12" i="4" l="1"/>
  <c r="N12" i="4" s="1"/>
  <c r="M10" i="4"/>
  <c r="P10" i="4" l="1"/>
  <c r="N10" i="4"/>
  <c r="O10" i="4"/>
  <c r="L9" i="4"/>
  <c r="L8" i="4"/>
  <c r="L7" i="4"/>
  <c r="L6" i="4"/>
  <c r="D4" i="5"/>
  <c r="D3" i="5"/>
  <c r="D2" i="5"/>
  <c r="G2" i="5" s="1"/>
  <c r="R4" i="5" l="1"/>
  <c r="S4" i="5" s="1"/>
  <c r="G4" i="5"/>
  <c r="N4" i="5"/>
  <c r="O4" i="5" s="1"/>
  <c r="Q4" i="5"/>
  <c r="N3" i="5"/>
  <c r="Q3" i="5"/>
  <c r="N2" i="5"/>
  <c r="Q2" i="5"/>
  <c r="G3" i="5"/>
  <c r="M6" i="4"/>
  <c r="M8" i="4"/>
  <c r="N8" i="4" s="1"/>
  <c r="P6" i="4" l="1"/>
  <c r="N6" i="4"/>
  <c r="O6" i="4"/>
</calcChain>
</file>

<file path=xl/sharedStrings.xml><?xml version="1.0" encoding="utf-8"?>
<sst xmlns="http://schemas.openxmlformats.org/spreadsheetml/2006/main" count="454" uniqueCount="78">
  <si>
    <t>mean in 10 µL</t>
  </si>
  <si>
    <t>feces weights (mg)</t>
  </si>
  <si>
    <t>Dilution factor</t>
  </si>
  <si>
    <t>Colony Count</t>
  </si>
  <si>
    <t>Dilution Factor</t>
  </si>
  <si>
    <t>Average CFUs</t>
  </si>
  <si>
    <t>Log CFUs</t>
  </si>
  <si>
    <t>CFUs/50uL</t>
  </si>
  <si>
    <t>day 3</t>
  </si>
  <si>
    <t>day 5</t>
  </si>
  <si>
    <t>OD reached</t>
  </si>
  <si>
    <t>(LB irg5 plates)</t>
  </si>
  <si>
    <t>BL048 + BL048 ANT2''∆ 1:1000 LB</t>
  </si>
  <si>
    <t>(LB irg5 gent10 plates)</t>
  </si>
  <si>
    <t>BL048 + BL048 ANT2''∆ 1:10,000 LB</t>
  </si>
  <si>
    <t>BL048 + BL048 ANT2''∆ 1:100,000 LB</t>
  </si>
  <si>
    <t>BL048 1:1000 LB</t>
  </si>
  <si>
    <t>BL048 1:10,000 LB</t>
  </si>
  <si>
    <t>BL048 1:100,000 LB</t>
  </si>
  <si>
    <t>Ratio (1/x)</t>
  </si>
  <si>
    <t>total number of CFU (not diluted)</t>
  </si>
  <si>
    <t>Total log10 CFU/g of feces</t>
  </si>
  <si>
    <t>BL048 only number of CFU (not diluted)</t>
  </si>
  <si>
    <t>% WT / Total</t>
  </si>
  <si>
    <t>Expectations</t>
  </si>
  <si>
    <t>/</t>
  </si>
  <si>
    <t>BL048:BL048 ANT2''∆ 1:100 mouse 1</t>
  </si>
  <si>
    <t>BL048:BL048 ANT2''∆ 1:100 mouse 2</t>
  </si>
  <si>
    <t>BL048:BL048 ANT2''∆ 1:100 mouse 3</t>
  </si>
  <si>
    <t>BL048:BL048 ANT2''∆ 1:100 mouse 4</t>
  </si>
  <si>
    <t>BL048:BL048 ANT2''∆ 1:100 mouse 5</t>
  </si>
  <si>
    <t>day 7 - caecum</t>
  </si>
  <si>
    <t>BL048:BL048 ANT2''∆ 1:1000 mouse 1</t>
  </si>
  <si>
    <t>BL048:BL048 ANT2''∆ 1:1000 mouse 2</t>
  </si>
  <si>
    <t>BL048:BL048 ANT2''∆ 1:1000 mouse 3</t>
  </si>
  <si>
    <t>BL048:BL048 ANT2''∆ 1:1000 mouse 4</t>
  </si>
  <si>
    <t>BL048:BL048 ANT2''∆ 1:1000 mouse 5</t>
  </si>
  <si>
    <t>Number in 200µL (no dilution)</t>
  </si>
  <si>
    <t>BL048:BL048 ANT2''∆ 1:10000 mouse 1</t>
  </si>
  <si>
    <t>BL048:BL048 ANT2''∆ 1:10000 mouse 2</t>
  </si>
  <si>
    <t>BL048:BL048 ANT2''∆ 1:10000 mouse 3</t>
  </si>
  <si>
    <t>BL048:BL048 ANT2''∆ 1:10000 mouse 4</t>
  </si>
  <si>
    <t>BL048:BL048 ANT2''∆ 1:10000 mouse 5</t>
  </si>
  <si>
    <t>BL048:BL048 ANT2''∆ 1:100000 mouse 1</t>
  </si>
  <si>
    <t>BL048:BL048 ANT2''∆ 1:100000 mouse 2</t>
  </si>
  <si>
    <t>BL048:BL048 ANT2''∆ 1:100000 mouse 3</t>
  </si>
  <si>
    <t>BL048:BL048 ANT2''∆ 1:100000 mouse 4</t>
  </si>
  <si>
    <t>BL048:BL048 ANT2''∆ 1:100000 mouse 5</t>
  </si>
  <si>
    <t xml:space="preserve"> ++</t>
  </si>
  <si>
    <t xml:space="preserve"> +</t>
  </si>
  <si>
    <t>Limit of detection</t>
  </si>
  <si>
    <t>BL048  = 0.310</t>
  </si>
  <si>
    <t>BL048 ANT2''∆ = 0.283</t>
  </si>
  <si>
    <t>BL048 + BL048 ANT2''∆ 1:100 LB</t>
  </si>
  <si>
    <t>BL048 1:100 LB</t>
  </si>
  <si>
    <t>%WT/total</t>
  </si>
  <si>
    <t>?</t>
  </si>
  <si>
    <t>BL048:BL048∆ANT2'' 0.68%</t>
  </si>
  <si>
    <t>mouse 1</t>
  </si>
  <si>
    <t>mouse 2</t>
  </si>
  <si>
    <t>mouse 3</t>
  </si>
  <si>
    <t>mouse 4</t>
  </si>
  <si>
    <t>mouse 5</t>
  </si>
  <si>
    <t>Feces day 3</t>
  </si>
  <si>
    <t>Feces day 5</t>
  </si>
  <si>
    <t>Caecum day 7</t>
  </si>
  <si>
    <t>BL048:BL048∆ANT2'' 0.048%</t>
  </si>
  <si>
    <t>BL048:BL048∆ANT2'' 0.0054%</t>
  </si>
  <si>
    <t>BL048:BL048∆ANT2'' 0.001%</t>
  </si>
  <si>
    <t>Log10 CFU/g feces (BL048 WT only)</t>
  </si>
  <si>
    <t>Limit of detection caecum</t>
  </si>
  <si>
    <t>Limit of detection feces</t>
  </si>
  <si>
    <t>Compet index (gentR/total)</t>
  </si>
  <si>
    <t>input ratio GentR/gentS</t>
  </si>
  <si>
    <t>Compet index (output/input)</t>
  </si>
  <si>
    <t>ratio output (GentS/GentR)</t>
  </si>
  <si>
    <t>Limit of detection GentR</t>
  </si>
  <si>
    <t>caecum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</si>
</sst>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0.000"/>
    <numFmt numFmtId="165" formatCode="0.0"/>
    <numFmt numFmtId="166" formatCode="0.00000%"/>
    <numFmt numFmtId="167" formatCode="0.000000%"/>
    <numFmt numFmtId="168" formatCode="0.000%"/>
    <numFmt numFmtId="169" formatCode="0.0000%"/>
    <numFmt numFmtId="170" formatCode="0.00000000%"/>
    <numFmt numFmtId="171" formatCode="0.0000000%"/>
    <numFmt numFmtId="172" formatCode="0.000000000%"/>
    <numFmt numFmtId="173" formatCode="0.00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79998168889431442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ill="1"/>
    <xf numFmtId="0" fontId="0" fillId="0" borderId="1" xfId="0" applyBorder="1"/>
    <xf numFmtId="11" fontId="0" fillId="0" borderId="1" xfId="0" applyNumberFormat="1" applyBorder="1" applyAlignment="1">
      <alignment horizontal="center" vertical="center"/>
    </xf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vertical="center" wrapText="1"/>
    </xf>
    <xf numFmtId="11" fontId="0" fillId="0" borderId="0" xfId="0" applyNumberFormat="1" applyFill="1" applyBorder="1" applyAlignment="1">
      <alignment horizontal="center"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/>
    </xf>
    <xf numFmtId="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0" fillId="0" borderId="0" xfId="0" applyFill="1" applyAlignment="1">
      <alignment vertical="center"/>
    </xf>
    <xf numFmtId="164" fontId="0" fillId="3" borderId="0" xfId="0" applyNumberFormat="1" applyFont="1" applyFill="1"/>
    <xf numFmtId="164" fontId="1" fillId="3" borderId="0" xfId="0" applyNumberFormat="1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64" fontId="0" fillId="0" borderId="0" xfId="0" applyNumberFormat="1" applyFont="1" applyFill="1"/>
    <xf numFmtId="10" fontId="0" fillId="3" borderId="0" xfId="0" applyNumberFormat="1" applyFill="1"/>
    <xf numFmtId="0" fontId="0" fillId="0" borderId="0" xfId="0" applyFont="1" applyFill="1" applyBorder="1"/>
    <xf numFmtId="10" fontId="0" fillId="0" borderId="0" xfId="0" applyNumberFormat="1" applyFill="1"/>
    <xf numFmtId="11" fontId="0" fillId="0" borderId="1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4" borderId="0" xfId="0" applyFont="1" applyFill="1" applyAlignment="1">
      <alignment horizontal="center"/>
    </xf>
    <xf numFmtId="0" fontId="0" fillId="4" borderId="0" xfId="0" applyFont="1" applyFill="1"/>
    <xf numFmtId="164" fontId="0" fillId="4" borderId="0" xfId="0" applyNumberFormat="1" applyFont="1" applyFill="1"/>
    <xf numFmtId="1" fontId="0" fillId="4" borderId="0" xfId="0" applyNumberFormat="1" applyFill="1" applyAlignment="1">
      <alignment horizontal="center" vertical="center"/>
    </xf>
    <xf numFmtId="10" fontId="0" fillId="4" borderId="0" xfId="0" applyNumberFormat="1" applyFill="1"/>
    <xf numFmtId="0" fontId="0" fillId="4" borderId="0" xfId="0" applyFill="1"/>
    <xf numFmtId="0" fontId="0" fillId="0" borderId="0" xfId="0" applyFont="1" applyFill="1" applyAlignment="1">
      <alignment horizontal="center"/>
    </xf>
    <xf numFmtId="0" fontId="0" fillId="0" borderId="0" xfId="0" applyFont="1" applyFill="1"/>
    <xf numFmtId="1" fontId="0" fillId="0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/>
    </xf>
    <xf numFmtId="166" fontId="0" fillId="3" borderId="0" xfId="0" applyNumberFormat="1" applyFill="1"/>
    <xf numFmtId="167" fontId="0" fillId="3" borderId="0" xfId="0" applyNumberFormat="1" applyFill="1"/>
    <xf numFmtId="168" fontId="0" fillId="3" borderId="0" xfId="0" applyNumberFormat="1" applyFill="1"/>
    <xf numFmtId="0" fontId="0" fillId="0" borderId="1" xfId="0" applyFont="1" applyBorder="1"/>
    <xf numFmtId="0" fontId="0" fillId="0" borderId="3" xfId="0" applyFont="1" applyBorder="1"/>
    <xf numFmtId="167" fontId="1" fillId="0" borderId="0" xfId="0" applyNumberFormat="1" applyFont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7" fontId="0" fillId="4" borderId="0" xfId="0" applyNumberFormat="1" applyFill="1" applyAlignment="1">
      <alignment horizontal="center" vertical="center"/>
    </xf>
    <xf numFmtId="167" fontId="0" fillId="0" borderId="0" xfId="0" applyNumberFormat="1"/>
    <xf numFmtId="169" fontId="0" fillId="3" borderId="0" xfId="0" applyNumberFormat="1" applyFill="1"/>
    <xf numFmtId="170" fontId="0" fillId="3" borderId="0" xfId="0" applyNumberFormat="1" applyFill="1"/>
    <xf numFmtId="171" fontId="0" fillId="3" borderId="0" xfId="0" applyNumberFormat="1" applyFill="1"/>
    <xf numFmtId="10" fontId="0" fillId="3" borderId="15" xfId="0" applyNumberFormat="1" applyFill="1" applyBorder="1" applyAlignment="1">
      <alignment horizontal="center" vertical="center"/>
    </xf>
    <xf numFmtId="10" fontId="0" fillId="3" borderId="17" xfId="0" applyNumberFormat="1" applyFill="1" applyBorder="1" applyAlignment="1">
      <alignment horizontal="center" vertical="center"/>
    </xf>
    <xf numFmtId="10" fontId="0" fillId="0" borderId="0" xfId="0" applyNumberForma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0" borderId="23" xfId="0" applyBorder="1"/>
    <xf numFmtId="10" fontId="0" fillId="3" borderId="10" xfId="0" applyNumberFormat="1" applyFill="1" applyBorder="1" applyAlignment="1">
      <alignment horizontal="center" vertical="center"/>
    </xf>
    <xf numFmtId="0" fontId="0" fillId="0" borderId="24" xfId="0" applyBorder="1"/>
    <xf numFmtId="0" fontId="0" fillId="0" borderId="25" xfId="0" applyBorder="1"/>
    <xf numFmtId="10" fontId="0" fillId="0" borderId="9" xfId="0" applyNumberFormat="1" applyBorder="1" applyAlignment="1">
      <alignment horizontal="center" vertical="center"/>
    </xf>
    <xf numFmtId="10" fontId="0" fillId="0" borderId="14" xfId="0" applyNumberFormat="1" applyBorder="1" applyAlignment="1">
      <alignment horizontal="center" vertical="center"/>
    </xf>
    <xf numFmtId="10" fontId="0" fillId="0" borderId="16" xfId="0" applyNumberFormat="1" applyBorder="1" applyAlignment="1">
      <alignment horizontal="center" vertical="center"/>
    </xf>
    <xf numFmtId="166" fontId="0" fillId="3" borderId="17" xfId="0" applyNumberForma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0" fontId="0" fillId="0" borderId="26" xfId="0" applyNumberFormat="1" applyBorder="1" applyAlignment="1">
      <alignment horizontal="center" vertical="center"/>
    </xf>
    <xf numFmtId="10" fontId="0" fillId="0" borderId="27" xfId="0" applyNumberFormat="1" applyBorder="1" applyAlignment="1">
      <alignment horizontal="center" vertical="center"/>
    </xf>
    <xf numFmtId="10" fontId="0" fillId="0" borderId="28" xfId="0" applyNumberForma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10" fontId="0" fillId="3" borderId="30" xfId="0" applyNumberFormat="1" applyFill="1" applyBorder="1" applyAlignment="1">
      <alignment horizontal="center" vertical="center"/>
    </xf>
    <xf numFmtId="10" fontId="0" fillId="3" borderId="31" xfId="0" applyNumberFormat="1" applyFill="1" applyBorder="1" applyAlignment="1">
      <alignment horizontal="center" vertical="center"/>
    </xf>
    <xf numFmtId="166" fontId="0" fillId="3" borderId="32" xfId="0" applyNumberFormat="1" applyFill="1" applyBorder="1" applyAlignment="1">
      <alignment horizontal="center" vertical="center"/>
    </xf>
    <xf numFmtId="10" fontId="0" fillId="3" borderId="32" xfId="0" applyNumberFormat="1" applyFill="1" applyBorder="1" applyAlignment="1">
      <alignment horizontal="center" vertical="center"/>
    </xf>
    <xf numFmtId="168" fontId="0" fillId="0" borderId="14" xfId="0" applyNumberFormat="1" applyBorder="1" applyAlignment="1">
      <alignment horizontal="center" vertical="center"/>
    </xf>
    <xf numFmtId="10" fontId="0" fillId="3" borderId="15" xfId="0" applyNumberFormat="1" applyFill="1" applyBorder="1"/>
    <xf numFmtId="168" fontId="0" fillId="0" borderId="16" xfId="0" applyNumberFormat="1" applyBorder="1" applyAlignment="1">
      <alignment horizontal="center" vertical="center"/>
    </xf>
    <xf numFmtId="10" fontId="0" fillId="3" borderId="17" xfId="0" applyNumberFormat="1" applyFill="1" applyBorder="1"/>
    <xf numFmtId="169" fontId="0" fillId="3" borderId="17" xfId="0" applyNumberFormat="1" applyFill="1" applyBorder="1"/>
    <xf numFmtId="168" fontId="0" fillId="0" borderId="27" xfId="0" applyNumberFormat="1" applyBorder="1" applyAlignment="1">
      <alignment horizontal="center" vertical="center"/>
    </xf>
    <xf numFmtId="168" fontId="0" fillId="0" borderId="28" xfId="0" applyNumberFormat="1" applyBorder="1" applyAlignment="1">
      <alignment horizontal="center" vertical="center"/>
    </xf>
    <xf numFmtId="10" fontId="0" fillId="3" borderId="31" xfId="0" applyNumberFormat="1" applyFill="1" applyBorder="1"/>
    <xf numFmtId="167" fontId="0" fillId="3" borderId="32" xfId="0" applyNumberFormat="1" applyFill="1" applyBorder="1"/>
    <xf numFmtId="168" fontId="0" fillId="0" borderId="33" xfId="0" applyNumberFormat="1" applyBorder="1" applyAlignment="1">
      <alignment horizontal="center" vertical="center"/>
    </xf>
    <xf numFmtId="10" fontId="0" fillId="3" borderId="34" xfId="0" applyNumberFormat="1" applyFill="1" applyBorder="1"/>
    <xf numFmtId="10" fontId="0" fillId="0" borderId="4" xfId="0" applyNumberFormat="1" applyBorder="1" applyAlignment="1">
      <alignment horizontal="center" vertical="center"/>
    </xf>
    <xf numFmtId="10" fontId="0" fillId="3" borderId="38" xfId="0" applyNumberFormat="1" applyFill="1" applyBorder="1" applyAlignment="1">
      <alignment horizontal="center" vertical="center"/>
    </xf>
    <xf numFmtId="168" fontId="0" fillId="0" borderId="4" xfId="0" applyNumberFormat="1" applyBorder="1" applyAlignment="1">
      <alignment horizontal="center" vertical="center"/>
    </xf>
    <xf numFmtId="10" fontId="0" fillId="3" borderId="38" xfId="0" applyNumberFormat="1" applyFill="1" applyBorder="1"/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169" fontId="0" fillId="0" borderId="14" xfId="0" applyNumberFormat="1" applyBorder="1" applyAlignment="1">
      <alignment horizontal="center" vertical="center"/>
    </xf>
    <xf numFmtId="169" fontId="0" fillId="0" borderId="16" xfId="0" applyNumberFormat="1" applyBorder="1" applyAlignment="1">
      <alignment horizontal="center" vertical="center"/>
    </xf>
    <xf numFmtId="167" fontId="0" fillId="3" borderId="17" xfId="0" applyNumberFormat="1" applyFill="1" applyBorder="1" applyAlignment="1">
      <alignment horizontal="center" vertical="center"/>
    </xf>
    <xf numFmtId="169" fontId="0" fillId="0" borderId="9" xfId="0" applyNumberFormat="1" applyBorder="1" applyAlignment="1">
      <alignment horizontal="center" vertical="center"/>
    </xf>
    <xf numFmtId="168" fontId="0" fillId="3" borderId="17" xfId="0" applyNumberFormat="1" applyFill="1" applyBorder="1" applyAlignment="1">
      <alignment horizontal="center" vertical="center"/>
    </xf>
    <xf numFmtId="169" fontId="0" fillId="0" borderId="26" xfId="0" applyNumberFormat="1" applyBorder="1" applyAlignment="1">
      <alignment horizontal="center" vertical="center"/>
    </xf>
    <xf numFmtId="169" fontId="0" fillId="0" borderId="27" xfId="0" applyNumberFormat="1" applyBorder="1" applyAlignment="1">
      <alignment horizontal="center" vertical="center"/>
    </xf>
    <xf numFmtId="169" fontId="0" fillId="0" borderId="28" xfId="0" applyNumberFormat="1" applyBorder="1" applyAlignment="1">
      <alignment horizontal="center" vertical="center"/>
    </xf>
    <xf numFmtId="170" fontId="0" fillId="3" borderId="32" xfId="0" applyNumberFormat="1" applyFill="1" applyBorder="1" applyAlignment="1">
      <alignment horizontal="center" vertical="center"/>
    </xf>
    <xf numFmtId="168" fontId="0" fillId="0" borderId="9" xfId="0" applyNumberFormat="1" applyBorder="1" applyAlignment="1">
      <alignment horizontal="center" vertical="center"/>
    </xf>
    <xf numFmtId="168" fontId="0" fillId="0" borderId="26" xfId="0" applyNumberFormat="1" applyBorder="1" applyAlignment="1">
      <alignment horizontal="center" vertical="center"/>
    </xf>
    <xf numFmtId="166" fontId="0" fillId="3" borderId="15" xfId="0" applyNumberFormat="1" applyFill="1" applyBorder="1" applyAlignment="1">
      <alignment horizontal="center" vertical="center"/>
    </xf>
    <xf numFmtId="171" fontId="0" fillId="3" borderId="17" xfId="0" applyNumberFormat="1" applyFill="1" applyBorder="1" applyAlignment="1">
      <alignment horizontal="center" vertical="center"/>
    </xf>
    <xf numFmtId="167" fontId="0" fillId="3" borderId="32" xfId="0" applyNumberFormat="1" applyFill="1" applyBorder="1" applyAlignment="1">
      <alignment horizontal="center" vertical="center"/>
    </xf>
    <xf numFmtId="172" fontId="1" fillId="0" borderId="0" xfId="0" applyNumberFormat="1" applyFont="1" applyAlignment="1">
      <alignment horizontal="center" vertical="center" wrapText="1"/>
    </xf>
    <xf numFmtId="172" fontId="0" fillId="0" borderId="0" xfId="0" applyNumberFormat="1"/>
    <xf numFmtId="2" fontId="0" fillId="5" borderId="0" xfId="0" applyNumberFormat="1" applyFill="1"/>
    <xf numFmtId="164" fontId="0" fillId="0" borderId="0" xfId="0" applyNumberFormat="1" applyFont="1" applyAlignment="1">
      <alignment horizontal="center" vertical="center"/>
    </xf>
    <xf numFmtId="164" fontId="0" fillId="4" borderId="0" xfId="0" applyNumberFormat="1" applyFill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1" fontId="0" fillId="0" borderId="0" xfId="0" applyNumberFormat="1"/>
    <xf numFmtId="11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3" fontId="1" fillId="0" borderId="0" xfId="0" applyNumberFormat="1" applyFont="1" applyAlignment="1">
      <alignment horizontal="center" vertical="center" wrapText="1"/>
    </xf>
    <xf numFmtId="173" fontId="0" fillId="0" borderId="0" xfId="0" applyNumberFormat="1"/>
    <xf numFmtId="169" fontId="0" fillId="0" borderId="0" xfId="0" applyNumberFormat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1" fontId="0" fillId="0" borderId="1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165" fontId="0" fillId="2" borderId="2" xfId="0" applyNumberFormat="1" applyFill="1" applyBorder="1" applyAlignment="1">
      <alignment horizontal="center" vertical="center"/>
    </xf>
    <xf numFmtId="165" fontId="0" fillId="2" borderId="4" xfId="0" applyNumberFormat="1" applyFill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165" fontId="0" fillId="0" borderId="2" xfId="0" applyNumberFormat="1" applyFill="1" applyBorder="1" applyAlignment="1">
      <alignment horizontal="center" vertical="center"/>
    </xf>
    <xf numFmtId="165" fontId="0" fillId="0" borderId="4" xfId="0" applyNumberFormat="1" applyFill="1" applyBorder="1" applyAlignment="1">
      <alignment horizontal="center" vertical="center"/>
    </xf>
    <xf numFmtId="3" fontId="0" fillId="0" borderId="8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3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R22"/>
  <sheetViews>
    <sheetView topLeftCell="C1" workbookViewId="0">
      <selection activeCell="S4" sqref="S4"/>
    </sheetView>
  </sheetViews>
  <sheetFormatPr baseColWidth="10" defaultRowHeight="16" x14ac:dyDescent="0.2"/>
  <cols>
    <col min="2" max="2" width="15.6640625" customWidth="1"/>
    <col min="3" max="3" width="17.33203125" customWidth="1"/>
    <col min="7" max="7" width="10.83203125" customWidth="1"/>
    <col min="8" max="8" width="13.1640625" customWidth="1"/>
    <col min="9" max="9" width="18.5" customWidth="1"/>
    <col min="15" max="16" width="12.5" customWidth="1"/>
    <col min="17" max="17" width="14.83203125" customWidth="1"/>
    <col min="18" max="18" width="14.5" customWidth="1"/>
  </cols>
  <sheetData>
    <row r="1" spans="1:18" ht="43" customHeight="1" x14ac:dyDescent="0.2">
      <c r="A1" s="41"/>
      <c r="B1" s="41"/>
      <c r="C1" s="41"/>
      <c r="D1" s="41"/>
      <c r="E1" s="41"/>
      <c r="F1" s="34"/>
      <c r="I1" s="1"/>
      <c r="J1" s="7" t="s">
        <v>3</v>
      </c>
      <c r="K1" s="7" t="s">
        <v>4</v>
      </c>
      <c r="L1" s="7" t="s">
        <v>7</v>
      </c>
      <c r="M1" s="7" t="s">
        <v>5</v>
      </c>
      <c r="N1" s="7" t="s">
        <v>6</v>
      </c>
      <c r="O1" s="7" t="s">
        <v>19</v>
      </c>
      <c r="P1" s="7" t="s">
        <v>55</v>
      </c>
      <c r="Q1" s="7" t="s">
        <v>10</v>
      </c>
      <c r="R1" s="149" t="s">
        <v>73</v>
      </c>
    </row>
    <row r="2" spans="1:18" x14ac:dyDescent="0.2">
      <c r="A2" s="41"/>
      <c r="B2" s="41"/>
      <c r="C2" s="41"/>
      <c r="D2" s="41"/>
      <c r="E2" s="41"/>
      <c r="F2" s="34"/>
      <c r="H2" s="153" t="s">
        <v>11</v>
      </c>
      <c r="I2" s="154" t="s">
        <v>53</v>
      </c>
      <c r="J2" s="30">
        <v>9</v>
      </c>
      <c r="K2" s="61">
        <v>10000</v>
      </c>
      <c r="L2" s="61">
        <f t="shared" ref="L2:L5" si="0">J2*5*K2</f>
        <v>450000</v>
      </c>
      <c r="M2" s="156">
        <f>AVERAGE(L2:L3)</f>
        <v>625000</v>
      </c>
      <c r="N2" s="158">
        <f>LOG10(M2)</f>
        <v>5.795880017344075</v>
      </c>
      <c r="O2" s="160">
        <f>M2/M4</f>
        <v>147.05882352941177</v>
      </c>
      <c r="P2" s="152">
        <f>M4/M2</f>
        <v>6.7999999999999996E-3</v>
      </c>
      <c r="Q2" s="7"/>
      <c r="R2" s="147">
        <f>M4/(M2-M4)</f>
        <v>6.84655658477648E-3</v>
      </c>
    </row>
    <row r="3" spans="1:18" x14ac:dyDescent="0.2">
      <c r="A3" s="41"/>
      <c r="B3" s="41"/>
      <c r="C3" s="41"/>
      <c r="D3" s="41"/>
      <c r="E3" s="41"/>
      <c r="F3" s="34"/>
      <c r="H3" s="153"/>
      <c r="I3" s="155"/>
      <c r="J3" s="32">
        <v>16</v>
      </c>
      <c r="K3" s="62">
        <v>10000</v>
      </c>
      <c r="L3" s="62">
        <f t="shared" si="0"/>
        <v>800000</v>
      </c>
      <c r="M3" s="157"/>
      <c r="N3" s="159"/>
      <c r="O3" s="160"/>
      <c r="P3" s="152"/>
      <c r="Q3" s="7"/>
    </row>
    <row r="4" spans="1:18" x14ac:dyDescent="0.2">
      <c r="A4" s="41"/>
      <c r="B4" s="41"/>
      <c r="C4" s="41"/>
      <c r="D4" s="41"/>
      <c r="E4" s="41"/>
      <c r="F4" s="34"/>
      <c r="H4" s="153" t="s">
        <v>13</v>
      </c>
      <c r="I4" s="154" t="s">
        <v>54</v>
      </c>
      <c r="J4" s="30">
        <v>10</v>
      </c>
      <c r="K4" s="61">
        <v>100</v>
      </c>
      <c r="L4" s="61">
        <f t="shared" si="0"/>
        <v>5000</v>
      </c>
      <c r="M4" s="156">
        <f>AVERAGE(L4:L5)</f>
        <v>4250</v>
      </c>
      <c r="N4" s="161">
        <f>LOG10(M4)</f>
        <v>3.6283889300503116</v>
      </c>
      <c r="O4" s="160"/>
      <c r="P4" s="152"/>
      <c r="Q4" s="7"/>
    </row>
    <row r="5" spans="1:18" x14ac:dyDescent="0.2">
      <c r="A5" s="41"/>
      <c r="B5" s="41"/>
      <c r="C5" s="41"/>
      <c r="D5" s="41"/>
      <c r="E5" s="41"/>
      <c r="F5" s="34"/>
      <c r="H5" s="153"/>
      <c r="I5" s="155"/>
      <c r="J5" s="32">
        <v>7</v>
      </c>
      <c r="K5" s="62">
        <v>100</v>
      </c>
      <c r="L5" s="62">
        <f t="shared" si="0"/>
        <v>3500</v>
      </c>
      <c r="M5" s="157"/>
      <c r="N5" s="162"/>
      <c r="O5" s="160"/>
      <c r="P5" s="152"/>
      <c r="Q5" s="7"/>
    </row>
    <row r="6" spans="1:18" ht="15" customHeight="1" x14ac:dyDescent="0.2">
      <c r="A6" s="42"/>
      <c r="B6" s="43"/>
      <c r="C6" s="43"/>
      <c r="D6" s="39"/>
      <c r="E6" s="44"/>
      <c r="F6" s="34"/>
      <c r="H6" s="153" t="s">
        <v>11</v>
      </c>
      <c r="I6" s="154" t="s">
        <v>12</v>
      </c>
      <c r="J6" s="30">
        <v>12</v>
      </c>
      <c r="K6" s="31">
        <v>10000</v>
      </c>
      <c r="L6" s="31">
        <f t="shared" ref="L6:L13" si="1">J6*5*K6</f>
        <v>600000</v>
      </c>
      <c r="M6" s="156">
        <f>AVERAGE(L6:L7)</f>
        <v>725000</v>
      </c>
      <c r="N6" s="158">
        <f>LOG10(M6)</f>
        <v>5.860338006570994</v>
      </c>
      <c r="O6" s="160">
        <f>M6/M8</f>
        <v>2071.4285714285716</v>
      </c>
      <c r="P6" s="152">
        <f t="shared" ref="P6" si="2">M8/M6</f>
        <v>4.8275862068965518E-4</v>
      </c>
      <c r="Q6" s="164" t="s">
        <v>52</v>
      </c>
      <c r="R6" s="147">
        <f>M8/(M6-M8)</f>
        <v>4.8299178913958462E-4</v>
      </c>
    </row>
    <row r="7" spans="1:18" x14ac:dyDescent="0.2">
      <c r="A7" s="45"/>
      <c r="B7" s="43"/>
      <c r="C7" s="43"/>
      <c r="D7" s="46"/>
      <c r="E7" s="47"/>
      <c r="F7" s="34"/>
      <c r="H7" s="153"/>
      <c r="I7" s="155"/>
      <c r="J7" s="32">
        <v>17</v>
      </c>
      <c r="K7" s="33">
        <v>10000</v>
      </c>
      <c r="L7" s="33">
        <f t="shared" si="1"/>
        <v>850000</v>
      </c>
      <c r="M7" s="157"/>
      <c r="N7" s="159"/>
      <c r="O7" s="160"/>
      <c r="P7" s="152"/>
      <c r="Q7" s="164"/>
    </row>
    <row r="8" spans="1:18" x14ac:dyDescent="0.2">
      <c r="A8" s="42"/>
      <c r="B8" s="43"/>
      <c r="C8" s="43"/>
      <c r="D8" s="39"/>
      <c r="E8" s="44"/>
      <c r="F8" s="34"/>
      <c r="H8" s="153" t="s">
        <v>13</v>
      </c>
      <c r="I8" s="154" t="s">
        <v>16</v>
      </c>
      <c r="J8" s="30">
        <v>70</v>
      </c>
      <c r="K8" s="31">
        <v>1</v>
      </c>
      <c r="L8" s="31">
        <f t="shared" si="1"/>
        <v>350</v>
      </c>
      <c r="M8" s="156">
        <f>AVERAGE(L8:L9)</f>
        <v>350</v>
      </c>
      <c r="N8" s="161">
        <f>LOG10(M8)</f>
        <v>2.5440680443502757</v>
      </c>
      <c r="O8" s="160"/>
      <c r="P8" s="152"/>
      <c r="Q8" s="165" t="s">
        <v>51</v>
      </c>
    </row>
    <row r="9" spans="1:18" x14ac:dyDescent="0.2">
      <c r="A9" s="45"/>
      <c r="B9" s="43"/>
      <c r="C9" s="43"/>
      <c r="D9" s="46"/>
      <c r="E9" s="47"/>
      <c r="F9" s="34"/>
      <c r="H9" s="153"/>
      <c r="I9" s="155"/>
      <c r="J9" s="32">
        <v>70</v>
      </c>
      <c r="K9" s="33">
        <v>1</v>
      </c>
      <c r="L9" s="33">
        <f t="shared" si="1"/>
        <v>350</v>
      </c>
      <c r="M9" s="157"/>
      <c r="N9" s="162"/>
      <c r="O9" s="160"/>
      <c r="P9" s="152"/>
      <c r="Q9" s="165"/>
    </row>
    <row r="10" spans="1:18" ht="16" customHeight="1" x14ac:dyDescent="0.2">
      <c r="A10" s="34"/>
      <c r="B10" s="34"/>
      <c r="C10" s="34"/>
      <c r="D10" s="34"/>
      <c r="E10" s="34"/>
      <c r="F10" s="34"/>
      <c r="H10" s="153" t="s">
        <v>11</v>
      </c>
      <c r="I10" s="154" t="s">
        <v>14</v>
      </c>
      <c r="J10" s="30">
        <v>14</v>
      </c>
      <c r="K10" s="61">
        <v>10000</v>
      </c>
      <c r="L10" s="61">
        <f t="shared" si="1"/>
        <v>700000</v>
      </c>
      <c r="M10" s="156">
        <f>AVERAGE(L10:L11)</f>
        <v>600000</v>
      </c>
      <c r="N10" s="158">
        <f>LOG10(M10)</f>
        <v>5.7781512503836439</v>
      </c>
      <c r="O10" s="160">
        <f>M10/M12</f>
        <v>18461.538461538461</v>
      </c>
      <c r="P10" s="152">
        <f t="shared" ref="P10" si="3">M12/M10</f>
        <v>5.4166666666666664E-5</v>
      </c>
      <c r="Q10" s="48"/>
      <c r="R10" s="147">
        <f>M12/(M10-M12)</f>
        <v>5.4169600853379559E-5</v>
      </c>
    </row>
    <row r="11" spans="1:18" x14ac:dyDescent="0.2">
      <c r="A11" s="34"/>
      <c r="B11" s="34"/>
      <c r="C11" s="34"/>
      <c r="D11" s="34"/>
      <c r="E11" s="34"/>
      <c r="F11" s="34"/>
      <c r="H11" s="153"/>
      <c r="I11" s="155"/>
      <c r="J11" s="32">
        <v>10</v>
      </c>
      <c r="K11" s="62">
        <v>10000</v>
      </c>
      <c r="L11" s="62">
        <f t="shared" si="1"/>
        <v>500000</v>
      </c>
      <c r="M11" s="157"/>
      <c r="N11" s="159"/>
      <c r="O11" s="160"/>
      <c r="P11" s="152"/>
      <c r="Q11" s="48"/>
    </row>
    <row r="12" spans="1:18" ht="16" customHeight="1" x14ac:dyDescent="0.2">
      <c r="A12" s="34"/>
      <c r="B12" s="34"/>
      <c r="C12" s="34"/>
      <c r="D12" s="34"/>
      <c r="E12" s="34"/>
      <c r="F12" s="34"/>
      <c r="H12" s="153" t="s">
        <v>13</v>
      </c>
      <c r="I12" s="154" t="s">
        <v>17</v>
      </c>
      <c r="J12" s="30">
        <v>7</v>
      </c>
      <c r="K12" s="61">
        <v>1</v>
      </c>
      <c r="L12" s="61">
        <f t="shared" si="1"/>
        <v>35</v>
      </c>
      <c r="M12" s="156">
        <f>AVERAGE(L12:L13)</f>
        <v>32.5</v>
      </c>
      <c r="N12" s="161">
        <f>LOG10(M12)</f>
        <v>1.5118833609788744</v>
      </c>
      <c r="O12" s="160"/>
      <c r="P12" s="152"/>
      <c r="Q12" s="48"/>
    </row>
    <row r="13" spans="1:18" x14ac:dyDescent="0.2">
      <c r="H13" s="153"/>
      <c r="I13" s="155"/>
      <c r="J13" s="32">
        <v>6</v>
      </c>
      <c r="K13" s="62">
        <v>1</v>
      </c>
      <c r="L13" s="62">
        <f t="shared" si="1"/>
        <v>30</v>
      </c>
      <c r="M13" s="157"/>
      <c r="N13" s="162"/>
      <c r="O13" s="160"/>
      <c r="P13" s="152"/>
      <c r="Q13" s="48"/>
    </row>
    <row r="14" spans="1:18" ht="16" customHeight="1" x14ac:dyDescent="0.2">
      <c r="H14" s="153" t="s">
        <v>11</v>
      </c>
      <c r="I14" s="154" t="s">
        <v>15</v>
      </c>
      <c r="J14" s="30">
        <v>11</v>
      </c>
      <c r="K14" s="61">
        <v>10000</v>
      </c>
      <c r="L14" s="61">
        <f t="shared" ref="L14:L17" si="4">J14*5*K14</f>
        <v>550000</v>
      </c>
      <c r="M14" s="156">
        <f>AVERAGE(L14:L15)</f>
        <v>525000</v>
      </c>
      <c r="N14" s="158">
        <f>LOG10(M14)</f>
        <v>5.720159303405957</v>
      </c>
      <c r="O14" s="163">
        <f>M14/M16</f>
        <v>105000</v>
      </c>
      <c r="P14" s="152">
        <f>M16/M14</f>
        <v>9.5238095238095231E-6</v>
      </c>
      <c r="Q14" s="39"/>
      <c r="R14" s="147">
        <f>M16/(M14-M16)</f>
        <v>9.5239002276212162E-6</v>
      </c>
    </row>
    <row r="15" spans="1:18" x14ac:dyDescent="0.2">
      <c r="H15" s="153"/>
      <c r="I15" s="155"/>
      <c r="J15" s="32">
        <v>10</v>
      </c>
      <c r="K15" s="62">
        <v>10000</v>
      </c>
      <c r="L15" s="62">
        <f t="shared" si="4"/>
        <v>500000</v>
      </c>
      <c r="M15" s="157"/>
      <c r="N15" s="159"/>
      <c r="O15" s="163"/>
      <c r="P15" s="152"/>
      <c r="Q15" s="39"/>
    </row>
    <row r="16" spans="1:18" ht="16" customHeight="1" x14ac:dyDescent="0.2">
      <c r="H16" s="153" t="s">
        <v>13</v>
      </c>
      <c r="I16" s="154" t="s">
        <v>18</v>
      </c>
      <c r="J16" s="76">
        <v>1</v>
      </c>
      <c r="K16" s="61">
        <v>1</v>
      </c>
      <c r="L16" s="61">
        <f t="shared" si="4"/>
        <v>5</v>
      </c>
      <c r="M16" s="156">
        <f>AVERAGE(L16:L17)</f>
        <v>5</v>
      </c>
      <c r="N16" s="161">
        <f>LOG10(M16)</f>
        <v>0.69897000433601886</v>
      </c>
      <c r="O16" s="163"/>
      <c r="P16" s="152"/>
      <c r="Q16" s="39"/>
    </row>
    <row r="17" spans="8:17" x14ac:dyDescent="0.2">
      <c r="H17" s="153"/>
      <c r="I17" s="155"/>
      <c r="J17" s="77">
        <v>1</v>
      </c>
      <c r="K17" s="62">
        <v>1</v>
      </c>
      <c r="L17" s="62">
        <f t="shared" si="4"/>
        <v>5</v>
      </c>
      <c r="M17" s="157"/>
      <c r="N17" s="162"/>
      <c r="O17" s="163"/>
      <c r="P17" s="152"/>
      <c r="Q17" s="39"/>
    </row>
    <row r="18" spans="8:17" x14ac:dyDescent="0.2">
      <c r="H18" s="29"/>
      <c r="I18" s="35"/>
      <c r="J18" s="34"/>
      <c r="K18" s="36"/>
      <c r="L18" s="36"/>
      <c r="M18" s="37"/>
      <c r="N18" s="38"/>
      <c r="O18" s="34"/>
      <c r="P18" s="34"/>
      <c r="Q18" s="34"/>
    </row>
    <row r="19" spans="8:17" x14ac:dyDescent="0.2">
      <c r="H19" s="29"/>
      <c r="I19" s="35"/>
      <c r="J19" s="34"/>
      <c r="K19" s="36"/>
      <c r="L19" s="36"/>
      <c r="M19" s="37"/>
      <c r="N19" s="38"/>
      <c r="O19" s="34"/>
      <c r="P19" s="34"/>
      <c r="Q19" s="34"/>
    </row>
    <row r="20" spans="8:17" x14ac:dyDescent="0.2">
      <c r="H20" s="29"/>
      <c r="I20" s="29"/>
      <c r="J20" s="29"/>
      <c r="K20" s="29"/>
      <c r="L20" s="29"/>
      <c r="M20" s="29"/>
      <c r="N20" s="29"/>
      <c r="O20" s="29"/>
      <c r="P20" s="29"/>
      <c r="Q20" s="29"/>
    </row>
    <row r="21" spans="8:17" x14ac:dyDescent="0.2">
      <c r="H21" s="29"/>
      <c r="I21" s="29"/>
      <c r="J21" s="29"/>
      <c r="K21" s="29"/>
      <c r="L21" s="29"/>
      <c r="M21" s="29"/>
      <c r="N21" s="29"/>
      <c r="O21" s="29"/>
      <c r="P21" s="29"/>
      <c r="Q21" s="29"/>
    </row>
    <row r="22" spans="8:17" x14ac:dyDescent="0.2">
      <c r="H22" s="29"/>
      <c r="I22" s="29"/>
      <c r="J22" s="29"/>
      <c r="K22" s="29"/>
      <c r="L22" s="29"/>
      <c r="M22" s="29"/>
      <c r="N22" s="29"/>
      <c r="O22" s="29"/>
      <c r="P22" s="29"/>
      <c r="Q22" s="29"/>
    </row>
  </sheetData>
  <mergeCells count="42">
    <mergeCell ref="M10:M11"/>
    <mergeCell ref="N10:N11"/>
    <mergeCell ref="I14:I15"/>
    <mergeCell ref="M14:M15"/>
    <mergeCell ref="N14:N15"/>
    <mergeCell ref="Q6:Q7"/>
    <mergeCell ref="Q8:Q9"/>
    <mergeCell ref="I6:I7"/>
    <mergeCell ref="M6:M7"/>
    <mergeCell ref="N6:N7"/>
    <mergeCell ref="O14:O17"/>
    <mergeCell ref="H6:H7"/>
    <mergeCell ref="H10:H11"/>
    <mergeCell ref="H14:H15"/>
    <mergeCell ref="H8:H9"/>
    <mergeCell ref="H12:H13"/>
    <mergeCell ref="I8:I9"/>
    <mergeCell ref="M8:M9"/>
    <mergeCell ref="N8:N9"/>
    <mergeCell ref="I12:I13"/>
    <mergeCell ref="M12:M13"/>
    <mergeCell ref="N12:N13"/>
    <mergeCell ref="I10:I11"/>
    <mergeCell ref="I16:I17"/>
    <mergeCell ref="M16:M17"/>
    <mergeCell ref="N16:N17"/>
    <mergeCell ref="P2:P5"/>
    <mergeCell ref="P6:P9"/>
    <mergeCell ref="P10:P13"/>
    <mergeCell ref="P14:P17"/>
    <mergeCell ref="H2:H3"/>
    <mergeCell ref="I2:I3"/>
    <mergeCell ref="M2:M3"/>
    <mergeCell ref="N2:N3"/>
    <mergeCell ref="O2:O5"/>
    <mergeCell ref="H4:H5"/>
    <mergeCell ref="I4:I5"/>
    <mergeCell ref="M4:M5"/>
    <mergeCell ref="N4:N5"/>
    <mergeCell ref="H16:H17"/>
    <mergeCell ref="O6:O9"/>
    <mergeCell ref="O10:O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AG311"/>
  <sheetViews>
    <sheetView tabSelected="1" topLeftCell="J85" zoomScale="116" zoomScaleNormal="100" workbookViewId="0">
      <selection activeCell="V79" sqref="V79"/>
    </sheetView>
  </sheetViews>
  <sheetFormatPr baseColWidth="10" defaultRowHeight="16" x14ac:dyDescent="0.2"/>
  <cols>
    <col min="1" max="1" width="19.33203125" customWidth="1"/>
    <col min="13" max="13" width="13.83203125" style="14" customWidth="1"/>
    <col min="14" max="14" width="12.1640625" bestFit="1" customWidth="1"/>
    <col min="15" max="15" width="13.6640625" customWidth="1"/>
    <col min="16" max="16" width="12.1640625" style="81" bestFit="1" customWidth="1"/>
    <col min="17" max="17" width="14.1640625" style="141" bestFit="1" customWidth="1"/>
    <col min="18" max="18" width="14.1640625" style="147" customWidth="1"/>
    <col min="19" max="21" width="14.1640625" style="151" customWidth="1"/>
    <col min="23" max="23" width="13" customWidth="1"/>
    <col min="24" max="33" width="12.5" customWidth="1"/>
  </cols>
  <sheetData>
    <row r="1" spans="1:33" ht="64" customHeight="1" x14ac:dyDescent="0.2">
      <c r="A1" s="2" t="s">
        <v>26</v>
      </c>
      <c r="B1" s="167" t="s">
        <v>20</v>
      </c>
      <c r="C1" s="167"/>
      <c r="D1" s="17" t="s">
        <v>0</v>
      </c>
      <c r="E1" s="17" t="s">
        <v>2</v>
      </c>
      <c r="F1" s="17" t="s">
        <v>1</v>
      </c>
      <c r="G1" s="50" t="s">
        <v>21</v>
      </c>
      <c r="H1" s="167" t="s">
        <v>22</v>
      </c>
      <c r="I1" s="167"/>
      <c r="J1" s="40" t="s">
        <v>0</v>
      </c>
      <c r="K1" s="40" t="s">
        <v>2</v>
      </c>
      <c r="L1" s="55" t="s">
        <v>37</v>
      </c>
      <c r="M1" s="12" t="s">
        <v>69</v>
      </c>
      <c r="N1" s="51" t="s">
        <v>23</v>
      </c>
      <c r="O1" s="2" t="s">
        <v>72</v>
      </c>
      <c r="P1" s="78" t="s">
        <v>24</v>
      </c>
      <c r="Q1" s="140" t="s">
        <v>50</v>
      </c>
      <c r="R1" s="148" t="s">
        <v>75</v>
      </c>
      <c r="S1" s="150" t="s">
        <v>74</v>
      </c>
      <c r="T1" s="150"/>
      <c r="U1"/>
      <c r="V1" t="s">
        <v>76</v>
      </c>
    </row>
    <row r="2" spans="1:33" x14ac:dyDescent="0.2">
      <c r="A2" s="8" t="s">
        <v>8</v>
      </c>
      <c r="B2">
        <v>11</v>
      </c>
      <c r="C2">
        <v>6</v>
      </c>
      <c r="D2">
        <f>AVERAGE(B2:C2)</f>
        <v>8.5</v>
      </c>
      <c r="E2" s="4">
        <v>100</v>
      </c>
      <c r="F2" s="4">
        <f>1910.4-1889.4</f>
        <v>21</v>
      </c>
      <c r="G2" s="49">
        <f>LOG10(D2*100*E2/F2*1000)</f>
        <v>6.6071996309803733</v>
      </c>
      <c r="H2" s="53">
        <v>0</v>
      </c>
      <c r="I2" s="53">
        <v>0</v>
      </c>
      <c r="J2" s="53">
        <f>AVERAGE(H2:I2)</f>
        <v>0</v>
      </c>
      <c r="K2" s="53">
        <v>1</v>
      </c>
      <c r="L2" s="53">
        <v>0</v>
      </c>
      <c r="M2" s="143" t="e">
        <f t="shared" ref="M2:M3" si="0">LOG10(L2*5/F2*1000)</f>
        <v>#NUM!</v>
      </c>
      <c r="N2" s="58">
        <f t="shared" ref="N2:N3" si="1">(J2*K2)/(D2*E2)</f>
        <v>0</v>
      </c>
      <c r="P2" s="79">
        <f>dose!P$2</f>
        <v>6.7999999999999996E-3</v>
      </c>
      <c r="Q2" s="141">
        <f>1/(D2*E2*20)</f>
        <v>5.8823529411764708E-5</v>
      </c>
      <c r="U2" s="4" t="s">
        <v>8</v>
      </c>
      <c r="V2" s="14">
        <f>LOG10((10^MEDIAN(G2,G7,G12,G17,G22))/150)</f>
        <v>5.3555970069816619</v>
      </c>
      <c r="X2" t="s">
        <v>70</v>
      </c>
      <c r="Z2">
        <f>LOG10(($L$78*5/$F$4)*1000)</f>
        <v>0.41859653818589937</v>
      </c>
    </row>
    <row r="3" spans="1:33" ht="17" thickBot="1" x14ac:dyDescent="0.25">
      <c r="A3" s="8" t="s">
        <v>9</v>
      </c>
      <c r="B3" s="9">
        <v>10</v>
      </c>
      <c r="C3" s="9">
        <v>6</v>
      </c>
      <c r="D3" s="9">
        <f t="shared" ref="D3:D4" si="2">AVERAGE(B3:C3)</f>
        <v>8</v>
      </c>
      <c r="E3" s="8">
        <v>100</v>
      </c>
      <c r="F3" s="8">
        <f>1760.7-1743.4</f>
        <v>17.299999999999955</v>
      </c>
      <c r="G3" s="49">
        <f>LOG10(D3*100*E3/F3*1000)</f>
        <v>6.6650438838631496</v>
      </c>
      <c r="H3" s="54">
        <v>0</v>
      </c>
      <c r="I3" s="54">
        <v>0</v>
      </c>
      <c r="J3" s="54">
        <f t="shared" ref="J3:J4" si="3">AVERAGE(H3:I3)</f>
        <v>0</v>
      </c>
      <c r="K3" s="54">
        <v>1</v>
      </c>
      <c r="L3" s="54">
        <v>0</v>
      </c>
      <c r="M3" s="143" t="e">
        <f t="shared" si="0"/>
        <v>#NUM!</v>
      </c>
      <c r="N3" s="58">
        <f t="shared" si="1"/>
        <v>0</v>
      </c>
      <c r="P3" s="79">
        <f>dose!P$2</f>
        <v>6.7999999999999996E-3</v>
      </c>
      <c r="Q3" s="141">
        <f t="shared" ref="Q3:Q64" si="4">1/(D3*E3*20)</f>
        <v>6.2500000000000001E-5</v>
      </c>
      <c r="U3" s="4" t="s">
        <v>9</v>
      </c>
      <c r="V3" s="14">
        <f t="shared" ref="V3:V4" si="5">LOG10((10^MEDIAN(G3,G8,G13,G18,G23))/150)</f>
        <v>5.1856365769619126</v>
      </c>
      <c r="X3" t="s">
        <v>71</v>
      </c>
      <c r="Z3">
        <f>LOG10($L$78*5/$F$33*1000)</f>
        <v>1.6607473659673002</v>
      </c>
    </row>
    <row r="4" spans="1:33" ht="17" thickBot="1" x14ac:dyDescent="0.25">
      <c r="A4" s="8" t="s">
        <v>31</v>
      </c>
      <c r="B4" s="9">
        <v>4</v>
      </c>
      <c r="C4" s="9">
        <v>8</v>
      </c>
      <c r="D4" s="9">
        <f t="shared" si="2"/>
        <v>6</v>
      </c>
      <c r="E4" s="8">
        <v>10000</v>
      </c>
      <c r="F4" s="8">
        <f>3730.1-1823</f>
        <v>1907.1</v>
      </c>
      <c r="G4" s="49">
        <f>LOG10(D4*100*E4/F4*1000)</f>
        <v>6.4977777842335245</v>
      </c>
      <c r="H4" s="54">
        <v>0</v>
      </c>
      <c r="I4" s="54">
        <v>0</v>
      </c>
      <c r="J4" s="54">
        <f t="shared" si="3"/>
        <v>0</v>
      </c>
      <c r="K4" s="54">
        <v>1</v>
      </c>
      <c r="L4" s="54">
        <v>150</v>
      </c>
      <c r="M4" s="143">
        <f>LOG10(L4*5/F4*1000)</f>
        <v>2.5946877972415807</v>
      </c>
      <c r="N4" s="58">
        <f>(L4/20)/(D4*E4)</f>
        <v>1.25E-4</v>
      </c>
      <c r="O4" s="5">
        <f>LOG10(N4/P4)</f>
        <v>-1.7355988996981799</v>
      </c>
      <c r="P4" s="79">
        <f>dose!P$2</f>
        <v>6.7999999999999996E-3</v>
      </c>
      <c r="Q4" s="141">
        <f t="shared" si="4"/>
        <v>8.3333333333333333E-7</v>
      </c>
      <c r="R4" s="147">
        <f>(L4*5)/((D4*E4*100)-(L4*5))</f>
        <v>1.2501562695336918E-4</v>
      </c>
      <c r="S4" s="151">
        <f>R4/dose!$R$2</f>
        <v>1.8259635395600923E-2</v>
      </c>
      <c r="U4" s="4" t="s">
        <v>77</v>
      </c>
      <c r="V4" s="14">
        <f>LOG10((10^MEDIAN(G4,G9,G14,G19,G24))/150)</f>
        <v>4.4003625155887356</v>
      </c>
      <c r="X4" s="168" t="s">
        <v>57</v>
      </c>
      <c r="Y4" s="169"/>
      <c r="Z4" s="169"/>
      <c r="AA4" s="169"/>
      <c r="AB4" s="169"/>
      <c r="AC4" s="169"/>
      <c r="AD4" s="169"/>
      <c r="AE4" s="169"/>
      <c r="AF4" s="169"/>
      <c r="AG4" s="170"/>
    </row>
    <row r="5" spans="1:33" x14ac:dyDescent="0.2">
      <c r="A5" s="8"/>
      <c r="B5" s="9"/>
      <c r="C5" s="9"/>
      <c r="D5" s="9"/>
      <c r="E5" s="8"/>
      <c r="F5" s="8"/>
      <c r="G5" s="13"/>
      <c r="H5" s="53"/>
      <c r="I5" s="53"/>
      <c r="J5" s="53"/>
      <c r="K5" s="53"/>
      <c r="L5" s="53"/>
      <c r="M5" s="143"/>
      <c r="N5" s="60"/>
      <c r="P5" s="79"/>
      <c r="U5" s="4"/>
      <c r="V5" s="14"/>
      <c r="X5" s="171" t="s">
        <v>58</v>
      </c>
      <c r="Y5" s="172"/>
      <c r="Z5" s="173" t="s">
        <v>59</v>
      </c>
      <c r="AA5" s="173"/>
      <c r="AB5" s="174" t="s">
        <v>60</v>
      </c>
      <c r="AC5" s="175"/>
      <c r="AD5" s="173" t="s">
        <v>61</v>
      </c>
      <c r="AE5" s="173"/>
      <c r="AF5" s="174" t="s">
        <v>62</v>
      </c>
      <c r="AG5" s="175"/>
    </row>
    <row r="6" spans="1:33" ht="60" customHeight="1" thickBot="1" x14ac:dyDescent="0.25">
      <c r="A6" s="2" t="s">
        <v>27</v>
      </c>
      <c r="B6" s="167" t="s">
        <v>20</v>
      </c>
      <c r="C6" s="167"/>
      <c r="D6" s="40" t="s">
        <v>0</v>
      </c>
      <c r="E6" s="40" t="s">
        <v>2</v>
      </c>
      <c r="F6" s="40" t="s">
        <v>1</v>
      </c>
      <c r="G6" s="50" t="s">
        <v>21</v>
      </c>
      <c r="H6" s="166" t="s">
        <v>22</v>
      </c>
      <c r="I6" s="166"/>
      <c r="J6" s="52" t="s">
        <v>0</v>
      </c>
      <c r="K6" s="52" t="s">
        <v>2</v>
      </c>
      <c r="L6" s="55" t="s">
        <v>37</v>
      </c>
      <c r="M6" s="12" t="s">
        <v>69</v>
      </c>
      <c r="N6" s="51" t="s">
        <v>23</v>
      </c>
      <c r="P6" s="79"/>
      <c r="U6" s="146"/>
      <c r="V6" s="14"/>
      <c r="X6" s="88" t="s">
        <v>24</v>
      </c>
      <c r="Y6" s="89" t="s">
        <v>23</v>
      </c>
      <c r="Z6" s="98" t="s">
        <v>24</v>
      </c>
      <c r="AA6" s="102" t="s">
        <v>23</v>
      </c>
      <c r="AB6" s="88" t="s">
        <v>24</v>
      </c>
      <c r="AC6" s="89" t="s">
        <v>23</v>
      </c>
      <c r="AD6" s="98" t="s">
        <v>24</v>
      </c>
      <c r="AE6" s="102" t="s">
        <v>23</v>
      </c>
      <c r="AF6" s="88" t="s">
        <v>24</v>
      </c>
      <c r="AG6" s="89" t="s">
        <v>23</v>
      </c>
    </row>
    <row r="7" spans="1:33" x14ac:dyDescent="0.2">
      <c r="A7" s="8" t="s">
        <v>8</v>
      </c>
      <c r="B7" s="59">
        <v>60</v>
      </c>
      <c r="C7" s="59">
        <v>46</v>
      </c>
      <c r="D7">
        <f>AVERAGE(B7:C7)</f>
        <v>53</v>
      </c>
      <c r="E7" s="4">
        <v>1000</v>
      </c>
      <c r="F7" s="4">
        <f>1865.1-1836.9</f>
        <v>28.199999999999818</v>
      </c>
      <c r="G7" s="49">
        <f>LOG10(D7*100*E7/F7*1000)</f>
        <v>8.27402676128143</v>
      </c>
      <c r="H7" s="53">
        <v>0</v>
      </c>
      <c r="I7" s="53">
        <v>0</v>
      </c>
      <c r="J7" s="53">
        <f>AVERAGE(H7:I7)</f>
        <v>0</v>
      </c>
      <c r="K7" s="53">
        <v>1</v>
      </c>
      <c r="L7" s="53">
        <v>0</v>
      </c>
      <c r="M7" s="143" t="e">
        <f t="shared" ref="M7:M68" si="6">LOG10(L7*5/F7*1000)</f>
        <v>#NUM!</v>
      </c>
      <c r="N7" s="58">
        <f>(J7*K7)/(D7*E7)</f>
        <v>0</v>
      </c>
      <c r="P7" s="79">
        <f>dose!P$2</f>
        <v>6.7999999999999996E-3</v>
      </c>
      <c r="Q7" s="141">
        <f t="shared" si="4"/>
        <v>9.4339622641509433E-7</v>
      </c>
      <c r="W7" s="90" t="s">
        <v>63</v>
      </c>
      <c r="X7" s="94">
        <v>6.7999999999999996E-3</v>
      </c>
      <c r="Y7" s="91">
        <v>0</v>
      </c>
      <c r="Z7" s="99">
        <v>6.7999999999999996E-3</v>
      </c>
      <c r="AA7" s="103">
        <v>0</v>
      </c>
      <c r="AB7" s="94">
        <v>6.7999999999999996E-3</v>
      </c>
      <c r="AC7" s="91">
        <v>0</v>
      </c>
      <c r="AD7" s="99" t="s">
        <v>25</v>
      </c>
      <c r="AE7" s="103">
        <v>0</v>
      </c>
      <c r="AF7" s="94">
        <v>6.7999999999999996E-3</v>
      </c>
      <c r="AG7" s="91">
        <v>0</v>
      </c>
    </row>
    <row r="8" spans="1:33" x14ac:dyDescent="0.2">
      <c r="A8" s="8" t="s">
        <v>9</v>
      </c>
      <c r="B8" s="59">
        <v>26</v>
      </c>
      <c r="C8" s="59">
        <v>19</v>
      </c>
      <c r="D8" s="9">
        <f t="shared" ref="D8:D9" si="7">AVERAGE(B8:C8)</f>
        <v>22.5</v>
      </c>
      <c r="E8" s="8">
        <v>10000</v>
      </c>
      <c r="F8" s="8">
        <f>1800.9-1759.8</f>
        <v>41.100000000000136</v>
      </c>
      <c r="G8" s="49">
        <f>LOG10(D8*100*E8/F8*1000)</f>
        <v>8.7383406962352925</v>
      </c>
      <c r="H8" s="54">
        <v>0</v>
      </c>
      <c r="I8" s="54">
        <v>0</v>
      </c>
      <c r="J8" s="54">
        <f t="shared" ref="J8:J9" si="8">AVERAGE(H8:I8)</f>
        <v>0</v>
      </c>
      <c r="K8" s="54">
        <v>1</v>
      </c>
      <c r="L8" s="54">
        <v>0</v>
      </c>
      <c r="M8" s="143" t="e">
        <f t="shared" si="6"/>
        <v>#NUM!</v>
      </c>
      <c r="N8" s="58">
        <f>(J8*K8)/(D8*E8)</f>
        <v>0</v>
      </c>
      <c r="P8" s="79">
        <f>dose!P$2</f>
        <v>6.7999999999999996E-3</v>
      </c>
      <c r="Q8" s="141">
        <f t="shared" si="4"/>
        <v>2.2222222222222222E-7</v>
      </c>
      <c r="W8" s="92" t="s">
        <v>64</v>
      </c>
      <c r="X8" s="95">
        <v>6.7999999999999996E-3</v>
      </c>
      <c r="Y8" s="85">
        <v>0</v>
      </c>
      <c r="Z8" s="100">
        <v>6.7999999999999996E-3</v>
      </c>
      <c r="AA8" s="104">
        <v>0</v>
      </c>
      <c r="AB8" s="95">
        <v>6.7999999999999996E-3</v>
      </c>
      <c r="AC8" s="85">
        <v>0</v>
      </c>
      <c r="AD8" s="100">
        <v>6.7999999999999996E-3</v>
      </c>
      <c r="AE8" s="104">
        <v>0</v>
      </c>
      <c r="AF8" s="95">
        <v>6.7999999999999996E-3</v>
      </c>
      <c r="AG8" s="85">
        <v>0</v>
      </c>
    </row>
    <row r="9" spans="1:33" ht="17" thickBot="1" x14ac:dyDescent="0.25">
      <c r="A9" s="8" t="s">
        <v>31</v>
      </c>
      <c r="B9" s="59">
        <v>9</v>
      </c>
      <c r="C9" s="59">
        <v>18</v>
      </c>
      <c r="D9" s="9">
        <f t="shared" si="7"/>
        <v>13.5</v>
      </c>
      <c r="E9" s="8">
        <v>1000000</v>
      </c>
      <c r="F9" s="8">
        <f>3461-1850.3</f>
        <v>1610.7</v>
      </c>
      <c r="G9" s="49">
        <f t="shared" ref="G9" si="9">LOG10(D9*100*E9/F9*1000)</f>
        <v>8.9233191098121054</v>
      </c>
      <c r="H9" s="54">
        <v>0</v>
      </c>
      <c r="I9" s="54">
        <v>0</v>
      </c>
      <c r="J9" s="54">
        <f t="shared" si="8"/>
        <v>0</v>
      </c>
      <c r="K9" s="54">
        <v>1</v>
      </c>
      <c r="L9" s="54">
        <v>300</v>
      </c>
      <c r="M9" s="143">
        <f t="shared" si="6"/>
        <v>2.9690766003727811</v>
      </c>
      <c r="N9" s="73">
        <f>(L9/20)/(D9*E9)</f>
        <v>1.111111111111111E-6</v>
      </c>
      <c r="O9" s="5">
        <f>LOG10(N9/P9)</f>
        <v>-3.7867514221455614</v>
      </c>
      <c r="P9" s="79">
        <f>dose!P$2</f>
        <v>6.7999999999999996E-3</v>
      </c>
      <c r="Q9" s="141">
        <f t="shared" si="4"/>
        <v>3.7037037037037036E-9</v>
      </c>
      <c r="R9" s="147">
        <f t="shared" ref="R9:R64" si="10">(L9*5)/((D9*E9*100)-(L9*5))</f>
        <v>1.1111123456803841E-6</v>
      </c>
      <c r="S9" s="151">
        <f>R9/dose!$R$2</f>
        <v>1.6228776201908198E-4</v>
      </c>
      <c r="W9" s="93" t="s">
        <v>65</v>
      </c>
      <c r="X9" s="96">
        <v>6.7999999999999996E-3</v>
      </c>
      <c r="Y9" s="86">
        <v>1.25E-4</v>
      </c>
      <c r="Z9" s="101">
        <v>6.7999999999999996E-3</v>
      </c>
      <c r="AA9" s="105">
        <v>1.111111111111111E-6</v>
      </c>
      <c r="AB9" s="96">
        <v>6.7999999999999996E-3</v>
      </c>
      <c r="AC9" s="86" t="s">
        <v>56</v>
      </c>
      <c r="AD9" s="101">
        <v>6.7999999999999996E-3</v>
      </c>
      <c r="AE9" s="106">
        <v>0</v>
      </c>
      <c r="AF9" s="96">
        <v>6.7999999999999996E-3</v>
      </c>
      <c r="AG9" s="97">
        <v>2.1428571428571427E-6</v>
      </c>
    </row>
    <row r="10" spans="1:33" x14ac:dyDescent="0.2">
      <c r="A10" s="8"/>
      <c r="B10" s="9"/>
      <c r="C10" s="9"/>
      <c r="D10" s="9"/>
      <c r="E10" s="8"/>
      <c r="F10" s="4"/>
      <c r="G10" s="13"/>
      <c r="H10" s="53"/>
      <c r="I10" s="53"/>
      <c r="J10" s="53"/>
      <c r="K10" s="53"/>
      <c r="L10" s="53"/>
      <c r="M10" s="143"/>
      <c r="N10" s="60"/>
      <c r="P10" s="79"/>
      <c r="W10" s="34"/>
      <c r="X10" s="39"/>
      <c r="Y10" s="87"/>
      <c r="Z10" s="39"/>
      <c r="AA10" s="87"/>
      <c r="AB10" s="39"/>
      <c r="AC10" s="87"/>
      <c r="AD10" s="39"/>
      <c r="AE10" s="87"/>
      <c r="AF10" s="39"/>
      <c r="AG10" s="87"/>
    </row>
    <row r="11" spans="1:33" ht="62" customHeight="1" x14ac:dyDescent="0.2">
      <c r="A11" s="2" t="s">
        <v>28</v>
      </c>
      <c r="B11" s="167" t="s">
        <v>20</v>
      </c>
      <c r="C11" s="167"/>
      <c r="D11" s="40" t="s">
        <v>0</v>
      </c>
      <c r="E11" s="40" t="s">
        <v>2</v>
      </c>
      <c r="F11" s="40" t="s">
        <v>1</v>
      </c>
      <c r="G11" s="50" t="s">
        <v>21</v>
      </c>
      <c r="H11" s="166" t="s">
        <v>22</v>
      </c>
      <c r="I11" s="166"/>
      <c r="J11" s="52" t="s">
        <v>0</v>
      </c>
      <c r="K11" s="52" t="s">
        <v>2</v>
      </c>
      <c r="L11" s="55" t="s">
        <v>37</v>
      </c>
      <c r="M11" s="12" t="s">
        <v>69</v>
      </c>
      <c r="N11" s="51" t="s">
        <v>23</v>
      </c>
      <c r="P11" s="79"/>
      <c r="W11" s="34"/>
      <c r="X11" s="39"/>
      <c r="Y11" s="87"/>
      <c r="Z11" s="39"/>
      <c r="AA11" s="87"/>
      <c r="AB11" s="39"/>
      <c r="AC11" s="87"/>
      <c r="AD11" s="39"/>
      <c r="AE11" s="87"/>
      <c r="AF11" s="39"/>
      <c r="AG11" s="87"/>
    </row>
    <row r="12" spans="1:33" x14ac:dyDescent="0.2">
      <c r="A12" s="8" t="s">
        <v>8</v>
      </c>
      <c r="B12" s="59">
        <v>45</v>
      </c>
      <c r="C12" s="59">
        <v>38</v>
      </c>
      <c r="D12">
        <f>AVERAGE(B12:C12)</f>
        <v>41.5</v>
      </c>
      <c r="E12" s="4">
        <v>100</v>
      </c>
      <c r="F12" s="4">
        <f>1814.8-1802.6</f>
        <v>12.200000000000045</v>
      </c>
      <c r="G12" s="49">
        <f>LOG10(D12*100*E12/F12*1000)</f>
        <v>7.5316882660373432</v>
      </c>
      <c r="H12" s="53">
        <v>0</v>
      </c>
      <c r="I12" s="53">
        <v>0</v>
      </c>
      <c r="J12" s="53">
        <f>AVERAGE(H12:I12)</f>
        <v>0</v>
      </c>
      <c r="K12" s="53">
        <v>1</v>
      </c>
      <c r="L12" s="53">
        <v>0</v>
      </c>
      <c r="M12" s="143" t="e">
        <f t="shared" si="6"/>
        <v>#NUM!</v>
      </c>
      <c r="N12" s="58">
        <f>(J12*K12)/(D12*E12)</f>
        <v>0</v>
      </c>
      <c r="P12" s="79">
        <f>dose!P$2</f>
        <v>6.7999999999999996E-3</v>
      </c>
      <c r="Q12" s="141">
        <f t="shared" si="4"/>
        <v>1.2048192771084337E-5</v>
      </c>
      <c r="X12">
        <f>LOG10(1)</f>
        <v>0</v>
      </c>
    </row>
    <row r="13" spans="1:33" x14ac:dyDescent="0.2">
      <c r="A13" s="8" t="s">
        <v>9</v>
      </c>
      <c r="B13" s="59">
        <v>11</v>
      </c>
      <c r="C13" s="59">
        <v>12</v>
      </c>
      <c r="D13" s="9">
        <f t="shared" ref="D13:D14" si="11">AVERAGE(B13:C13)</f>
        <v>11.5</v>
      </c>
      <c r="E13" s="8">
        <v>1000</v>
      </c>
      <c r="F13" s="8">
        <f>1944.8-1894.8</f>
        <v>50</v>
      </c>
      <c r="G13" s="49">
        <f>LOG10(D13*100*E13/F13*1000)</f>
        <v>7.3617278360175931</v>
      </c>
      <c r="H13" s="54">
        <v>0</v>
      </c>
      <c r="I13" s="54">
        <v>0</v>
      </c>
      <c r="J13" s="54">
        <f t="shared" ref="J13:J14" si="12">AVERAGE(H13:I13)</f>
        <v>0</v>
      </c>
      <c r="K13" s="54">
        <v>1</v>
      </c>
      <c r="L13" s="54">
        <v>0</v>
      </c>
      <c r="M13" s="143" t="e">
        <f t="shared" si="6"/>
        <v>#NUM!</v>
      </c>
      <c r="N13" s="58">
        <f>(J13*K13)/(D13*E13)</f>
        <v>0</v>
      </c>
      <c r="P13" s="79">
        <f>dose!P$2</f>
        <v>6.7999999999999996E-3</v>
      </c>
      <c r="Q13" s="141">
        <f t="shared" si="4"/>
        <v>4.3478260869565214E-6</v>
      </c>
      <c r="X13">
        <f>0.0125%/0.68%</f>
        <v>1.8382352941176471E-2</v>
      </c>
    </row>
    <row r="14" spans="1:33" x14ac:dyDescent="0.2">
      <c r="A14" s="8" t="s">
        <v>31</v>
      </c>
      <c r="B14" s="59">
        <v>5</v>
      </c>
      <c r="C14" s="59">
        <v>7</v>
      </c>
      <c r="D14" s="9">
        <f t="shared" si="11"/>
        <v>6</v>
      </c>
      <c r="E14" s="8">
        <v>10000</v>
      </c>
      <c r="F14" s="8">
        <f>3453.3-1862.2</f>
        <v>1591.1000000000001</v>
      </c>
      <c r="G14" s="49">
        <f t="shared" ref="G14" si="13">LOG10(D14*100*E14/F14*1000)</f>
        <v>6.5764537746444161</v>
      </c>
      <c r="H14" s="54">
        <v>0</v>
      </c>
      <c r="I14" s="54">
        <v>0</v>
      </c>
      <c r="J14" s="54">
        <f t="shared" si="12"/>
        <v>0</v>
      </c>
      <c r="K14" s="54">
        <v>1</v>
      </c>
      <c r="L14" s="54" t="s">
        <v>56</v>
      </c>
      <c r="M14" s="143" t="e">
        <f t="shared" si="6"/>
        <v>#VALUE!</v>
      </c>
      <c r="N14" s="58" t="s">
        <v>56</v>
      </c>
      <c r="O14" s="5" t="e">
        <f>LOG10(N14/P14)</f>
        <v>#VALUE!</v>
      </c>
      <c r="P14" s="79">
        <f>dose!P$2</f>
        <v>6.7999999999999996E-3</v>
      </c>
      <c r="Q14" s="141">
        <f t="shared" si="4"/>
        <v>8.3333333333333333E-7</v>
      </c>
      <c r="R14" s="147" t="s">
        <v>56</v>
      </c>
      <c r="S14" s="151" t="e">
        <f>R14/dose!$R$2</f>
        <v>#VALUE!</v>
      </c>
      <c r="X14">
        <f>LOG10(X13)</f>
        <v>-1.7355988996981799</v>
      </c>
    </row>
    <row r="15" spans="1:33" x14ac:dyDescent="0.2">
      <c r="A15" s="69"/>
      <c r="B15" s="70"/>
      <c r="C15" s="70"/>
      <c r="D15" s="70"/>
      <c r="E15" s="69"/>
      <c r="F15" s="69"/>
      <c r="G15" s="57"/>
      <c r="H15" s="71"/>
      <c r="I15" s="71"/>
      <c r="J15" s="71"/>
      <c r="K15" s="71"/>
      <c r="L15" s="71"/>
      <c r="M15" s="143"/>
      <c r="N15" s="60"/>
      <c r="O15" s="29"/>
      <c r="P15" s="79"/>
    </row>
    <row r="16" spans="1:33" ht="57" customHeight="1" x14ac:dyDescent="0.2">
      <c r="A16" s="2" t="s">
        <v>29</v>
      </c>
      <c r="B16" s="167" t="s">
        <v>20</v>
      </c>
      <c r="C16" s="167"/>
      <c r="D16" s="40" t="s">
        <v>0</v>
      </c>
      <c r="E16" s="40" t="s">
        <v>2</v>
      </c>
      <c r="F16" s="40" t="s">
        <v>1</v>
      </c>
      <c r="G16" s="50" t="s">
        <v>21</v>
      </c>
      <c r="H16" s="166" t="s">
        <v>22</v>
      </c>
      <c r="I16" s="166"/>
      <c r="J16" s="52" t="s">
        <v>0</v>
      </c>
      <c r="K16" s="52" t="s">
        <v>2</v>
      </c>
      <c r="L16" s="55" t="s">
        <v>37</v>
      </c>
      <c r="M16" s="12" t="s">
        <v>69</v>
      </c>
      <c r="N16" s="51" t="s">
        <v>23</v>
      </c>
      <c r="P16" s="79"/>
    </row>
    <row r="17" spans="1:33" x14ac:dyDescent="0.2">
      <c r="A17" s="8" t="s">
        <v>8</v>
      </c>
      <c r="B17" s="59">
        <v>1</v>
      </c>
      <c r="C17" s="59">
        <v>0</v>
      </c>
      <c r="D17">
        <f>AVERAGE(B17:C17)</f>
        <v>0.5</v>
      </c>
      <c r="E17" s="4">
        <v>1</v>
      </c>
      <c r="F17" s="4">
        <f>1919.4-1835.6</f>
        <v>83.800000000000182</v>
      </c>
      <c r="G17" s="49">
        <f>LOG10(D17*100*E17/F17*1000)</f>
        <v>2.7757259857057415</v>
      </c>
      <c r="H17" s="53">
        <v>0</v>
      </c>
      <c r="I17" s="53">
        <v>0</v>
      </c>
      <c r="J17" s="53">
        <f>AVERAGE(H17:I17)</f>
        <v>0</v>
      </c>
      <c r="K17" s="53">
        <v>1</v>
      </c>
      <c r="L17" s="53">
        <v>0</v>
      </c>
      <c r="M17" s="143" t="e">
        <f t="shared" si="6"/>
        <v>#NUM!</v>
      </c>
      <c r="N17" s="58">
        <f>(J17*K17)/(D17*E17)</f>
        <v>0</v>
      </c>
      <c r="P17" s="79" t="s">
        <v>25</v>
      </c>
      <c r="Q17" s="141">
        <f t="shared" si="4"/>
        <v>0.1</v>
      </c>
    </row>
    <row r="18" spans="1:33" ht="16" customHeight="1" x14ac:dyDescent="0.2">
      <c r="A18" s="8" t="s">
        <v>9</v>
      </c>
      <c r="B18" s="59">
        <v>21</v>
      </c>
      <c r="C18" s="59">
        <v>21</v>
      </c>
      <c r="D18" s="9">
        <f t="shared" ref="D18:D19" si="14">AVERAGE(B18:C18)</f>
        <v>21</v>
      </c>
      <c r="E18" s="8">
        <v>1</v>
      </c>
      <c r="F18" s="8">
        <f>1980.8-1922.5</f>
        <v>58.299999999999955</v>
      </c>
      <c r="G18" s="49">
        <f>LOG10(D18*100*E18/F18*1000)</f>
        <v>4.5565507399749059</v>
      </c>
      <c r="H18" s="54">
        <v>0</v>
      </c>
      <c r="I18" s="54">
        <v>0</v>
      </c>
      <c r="J18" s="54">
        <f t="shared" ref="J18:J19" si="15">AVERAGE(H18:I18)</f>
        <v>0</v>
      </c>
      <c r="K18" s="54">
        <v>1</v>
      </c>
      <c r="L18" s="54">
        <v>0</v>
      </c>
      <c r="M18" s="143" t="e">
        <f t="shared" si="6"/>
        <v>#NUM!</v>
      </c>
      <c r="N18" s="58">
        <f>(J18*K18)/(D18*E18)</f>
        <v>0</v>
      </c>
      <c r="P18" s="79">
        <f>dose!P$2</f>
        <v>6.7999999999999996E-3</v>
      </c>
      <c r="Q18" s="141">
        <f t="shared" si="4"/>
        <v>2.3809523809523812E-3</v>
      </c>
    </row>
    <row r="19" spans="1:33" ht="16" customHeight="1" x14ac:dyDescent="0.2">
      <c r="A19" s="8" t="s">
        <v>31</v>
      </c>
      <c r="B19" s="59">
        <v>25</v>
      </c>
      <c r="C19" s="59">
        <v>24</v>
      </c>
      <c r="D19" s="9">
        <f t="shared" si="14"/>
        <v>24.5</v>
      </c>
      <c r="E19" s="8">
        <v>100</v>
      </c>
      <c r="F19" s="8">
        <f>3076.8-1727.2</f>
        <v>1349.6000000000001</v>
      </c>
      <c r="G19" s="49">
        <f t="shared" ref="G19" si="16">LOG10(D19*100*E19/F19*1000)</f>
        <v>5.2589610147834636</v>
      </c>
      <c r="H19" s="54">
        <v>0</v>
      </c>
      <c r="I19" s="54">
        <v>0</v>
      </c>
      <c r="J19" s="54">
        <f t="shared" si="15"/>
        <v>0</v>
      </c>
      <c r="K19" s="54">
        <v>1</v>
      </c>
      <c r="L19" s="54">
        <v>0</v>
      </c>
      <c r="M19" s="143" t="e">
        <f t="shared" si="6"/>
        <v>#NUM!</v>
      </c>
      <c r="N19" s="58">
        <f>(J19*K19)/(D19*E19)</f>
        <v>0</v>
      </c>
      <c r="O19" s="142">
        <f>LOG10(Q19/P19)</f>
        <v>-2.52270499273475</v>
      </c>
      <c r="P19" s="79">
        <f>dose!P$2</f>
        <v>6.7999999999999996E-3</v>
      </c>
      <c r="Q19" s="141">
        <f>1/(D19*E19*20)</f>
        <v>2.0408163265306123E-5</v>
      </c>
      <c r="R19" s="147">
        <f t="shared" si="10"/>
        <v>0</v>
      </c>
      <c r="S19" s="151">
        <f>R19/dose!$R$2</f>
        <v>0</v>
      </c>
    </row>
    <row r="20" spans="1:33" x14ac:dyDescent="0.2">
      <c r="A20" s="8"/>
      <c r="B20" s="9"/>
      <c r="C20" s="9"/>
      <c r="D20" s="9"/>
      <c r="E20" s="8"/>
      <c r="F20" s="8"/>
      <c r="G20" s="13"/>
      <c r="H20" s="53"/>
      <c r="I20" s="53"/>
      <c r="J20" s="53"/>
      <c r="K20" s="53"/>
      <c r="L20" s="53"/>
      <c r="M20" s="143"/>
      <c r="N20" s="60"/>
      <c r="P20" s="79"/>
    </row>
    <row r="21" spans="1:33" ht="51" x14ac:dyDescent="0.2">
      <c r="A21" s="2" t="s">
        <v>30</v>
      </c>
      <c r="B21" s="167" t="s">
        <v>20</v>
      </c>
      <c r="C21" s="167"/>
      <c r="D21" s="40" t="s">
        <v>0</v>
      </c>
      <c r="E21" s="40" t="s">
        <v>2</v>
      </c>
      <c r="F21" s="40" t="s">
        <v>1</v>
      </c>
      <c r="G21" s="50" t="s">
        <v>21</v>
      </c>
      <c r="H21" s="166" t="s">
        <v>22</v>
      </c>
      <c r="I21" s="166"/>
      <c r="J21" s="52" t="s">
        <v>0</v>
      </c>
      <c r="K21" s="52" t="s">
        <v>2</v>
      </c>
      <c r="L21" s="55" t="s">
        <v>37</v>
      </c>
      <c r="M21" s="12" t="s">
        <v>69</v>
      </c>
      <c r="N21" s="51" t="s">
        <v>23</v>
      </c>
      <c r="P21" s="79"/>
    </row>
    <row r="22" spans="1:33" x14ac:dyDescent="0.2">
      <c r="A22" s="8" t="s">
        <v>8</v>
      </c>
      <c r="B22" s="59">
        <v>55</v>
      </c>
      <c r="C22" s="59">
        <v>62</v>
      </c>
      <c r="D22">
        <f>AVERAGE(B22:C22)</f>
        <v>58.5</v>
      </c>
      <c r="E22" s="4">
        <v>1000</v>
      </c>
      <c r="F22" s="4">
        <f>1956-1865.3</f>
        <v>90.700000000000045</v>
      </c>
      <c r="G22" s="49">
        <f>LOG10(D22*100*E22/F22*1000)</f>
        <v>7.8095485790220849</v>
      </c>
      <c r="H22" s="53">
        <v>0</v>
      </c>
      <c r="I22" s="53">
        <v>0</v>
      </c>
      <c r="J22" s="53">
        <f>AVERAGE(H22:I22)</f>
        <v>0</v>
      </c>
      <c r="K22" s="53">
        <v>1</v>
      </c>
      <c r="L22" s="53">
        <v>0</v>
      </c>
      <c r="M22" s="143" t="e">
        <f t="shared" si="6"/>
        <v>#NUM!</v>
      </c>
      <c r="N22" s="58">
        <f>(J22*K22)/(D22*E22)</f>
        <v>0</v>
      </c>
      <c r="P22" s="79">
        <f>dose!P$2</f>
        <v>6.7999999999999996E-3</v>
      </c>
      <c r="Q22" s="141">
        <f t="shared" si="4"/>
        <v>8.5470085470085473E-7</v>
      </c>
    </row>
    <row r="23" spans="1:33" x14ac:dyDescent="0.2">
      <c r="A23" s="8" t="s">
        <v>9</v>
      </c>
      <c r="B23" s="59">
        <v>22</v>
      </c>
      <c r="C23" s="59">
        <v>31</v>
      </c>
      <c r="D23" s="9">
        <f t="shared" ref="D23:D24" si="17">AVERAGE(B23:C23)</f>
        <v>26.5</v>
      </c>
      <c r="E23" s="8">
        <v>10000</v>
      </c>
      <c r="F23" s="8">
        <f>1809.7-1743.3</f>
        <v>66.400000000000091</v>
      </c>
      <c r="G23" s="49">
        <f>LOG10(D23*100*E23/F23*1000)</f>
        <v>8.6010777945687895</v>
      </c>
      <c r="H23" s="54">
        <v>0</v>
      </c>
      <c r="I23" s="54">
        <v>0</v>
      </c>
      <c r="J23" s="54">
        <f t="shared" ref="J23:J24" si="18">AVERAGE(H23:I23)</f>
        <v>0</v>
      </c>
      <c r="K23" s="54">
        <v>1</v>
      </c>
      <c r="L23" s="54">
        <v>0</v>
      </c>
      <c r="M23" s="143" t="e">
        <f t="shared" si="6"/>
        <v>#NUM!</v>
      </c>
      <c r="N23" s="58">
        <f>(J23*K23)/(D23*E23)</f>
        <v>0</v>
      </c>
      <c r="P23" s="79">
        <f>dose!P$2</f>
        <v>6.7999999999999996E-3</v>
      </c>
      <c r="Q23" s="141">
        <f t="shared" si="4"/>
        <v>1.8867924528301886E-7</v>
      </c>
    </row>
    <row r="24" spans="1:33" x14ac:dyDescent="0.2">
      <c r="A24" s="8" t="s">
        <v>31</v>
      </c>
      <c r="B24" s="59">
        <v>7</v>
      </c>
      <c r="C24" s="59">
        <v>7</v>
      </c>
      <c r="D24" s="9">
        <f t="shared" si="17"/>
        <v>7</v>
      </c>
      <c r="E24" s="8">
        <v>1000000</v>
      </c>
      <c r="F24" s="8">
        <f>3221.3-1665.3</f>
        <v>1556.0000000000002</v>
      </c>
      <c r="G24" s="49">
        <f t="shared" ref="G24" si="19">LOG10(D24*100*E24/F24*1000)</f>
        <v>8.6530884473605862</v>
      </c>
      <c r="H24" s="54">
        <v>0</v>
      </c>
      <c r="I24" s="54">
        <v>0</v>
      </c>
      <c r="J24" s="54">
        <f t="shared" si="18"/>
        <v>0</v>
      </c>
      <c r="K24" s="54">
        <v>1</v>
      </c>
      <c r="L24" s="54">
        <v>300</v>
      </c>
      <c r="M24" s="143">
        <f t="shared" si="6"/>
        <v>2.9840816664020111</v>
      </c>
      <c r="N24" s="73">
        <f>(L24/20)/(D24*E24)</f>
        <v>2.1428571428571427E-6</v>
      </c>
      <c r="O24" s="5">
        <f>LOG10(N24/P24)</f>
        <v>-3.5015156936648117</v>
      </c>
      <c r="P24" s="79">
        <f>dose!P$2</f>
        <v>6.7999999999999996E-3</v>
      </c>
      <c r="Q24" s="141">
        <f t="shared" si="4"/>
        <v>7.142857142857143E-9</v>
      </c>
      <c r="R24" s="147">
        <f t="shared" si="10"/>
        <v>2.1428617347037173E-6</v>
      </c>
      <c r="S24" s="151">
        <f>R24/dose!$R$2</f>
        <v>3.1298386395701939E-4</v>
      </c>
    </row>
    <row r="25" spans="1:33" x14ac:dyDescent="0.2">
      <c r="A25" s="63"/>
      <c r="B25" s="64"/>
      <c r="C25" s="64"/>
      <c r="D25" s="64"/>
      <c r="E25" s="63"/>
      <c r="F25" s="72"/>
      <c r="G25" s="65"/>
      <c r="H25" s="66"/>
      <c r="I25" s="66"/>
      <c r="J25" s="66"/>
      <c r="K25" s="66"/>
      <c r="L25" s="66"/>
      <c r="M25" s="144"/>
      <c r="N25" s="67"/>
      <c r="O25" s="68"/>
      <c r="P25" s="80">
        <v>1</v>
      </c>
    </row>
    <row r="26" spans="1:33" ht="51" customHeight="1" x14ac:dyDescent="0.2">
      <c r="A26" s="2" t="s">
        <v>32</v>
      </c>
      <c r="B26" s="167" t="s">
        <v>20</v>
      </c>
      <c r="C26" s="167"/>
      <c r="D26" s="55" t="s">
        <v>0</v>
      </c>
      <c r="E26" s="55" t="s">
        <v>2</v>
      </c>
      <c r="F26" s="55" t="s">
        <v>1</v>
      </c>
      <c r="G26" s="50" t="s">
        <v>21</v>
      </c>
      <c r="H26" s="167" t="s">
        <v>22</v>
      </c>
      <c r="I26" s="167"/>
      <c r="J26" s="55" t="s">
        <v>0</v>
      </c>
      <c r="K26" s="55" t="s">
        <v>2</v>
      </c>
      <c r="L26" s="55" t="s">
        <v>37</v>
      </c>
      <c r="M26" s="12" t="s">
        <v>69</v>
      </c>
      <c r="N26" s="51" t="s">
        <v>23</v>
      </c>
      <c r="P26" s="78" t="s">
        <v>24</v>
      </c>
      <c r="U26"/>
      <c r="V26" t="s">
        <v>76</v>
      </c>
    </row>
    <row r="27" spans="1:33" x14ac:dyDescent="0.2">
      <c r="A27" s="8" t="s">
        <v>8</v>
      </c>
      <c r="B27" s="59">
        <v>0</v>
      </c>
      <c r="C27" s="59">
        <v>0</v>
      </c>
      <c r="D27">
        <f>AVERAGE(B27:C27)</f>
        <v>0</v>
      </c>
      <c r="E27" s="4">
        <v>1</v>
      </c>
      <c r="F27" s="4">
        <f>1778.5-1757.4</f>
        <v>21.099999999999909</v>
      </c>
      <c r="G27" s="49" t="e">
        <f>LOG10(D27*100*E27/F27*1000)</f>
        <v>#NUM!</v>
      </c>
      <c r="H27" s="53">
        <v>0</v>
      </c>
      <c r="I27" s="53">
        <v>0</v>
      </c>
      <c r="J27" s="53">
        <f>AVERAGE(H27:I27)</f>
        <v>0</v>
      </c>
      <c r="K27" s="53">
        <v>1</v>
      </c>
      <c r="L27" s="53">
        <v>0</v>
      </c>
      <c r="M27" s="143" t="e">
        <f t="shared" si="6"/>
        <v>#NUM!</v>
      </c>
      <c r="N27" s="58" t="e">
        <f t="shared" ref="N27:N28" si="20">(J27*K27)/(D27*E27)</f>
        <v>#DIV/0!</v>
      </c>
      <c r="P27" s="79" t="s">
        <v>25</v>
      </c>
      <c r="Q27" s="141" t="e">
        <f t="shared" si="4"/>
        <v>#DIV/0!</v>
      </c>
      <c r="U27" s="4" t="s">
        <v>8</v>
      </c>
      <c r="V27" s="14">
        <f>LOG10((10^MEDIAN(0,0,G37,G42,G47))/2070)</f>
        <v>2.4722228432208633</v>
      </c>
    </row>
    <row r="28" spans="1:33" ht="17" thickBot="1" x14ac:dyDescent="0.25">
      <c r="A28" s="8" t="s">
        <v>9</v>
      </c>
      <c r="B28" s="59">
        <v>14</v>
      </c>
      <c r="C28" s="59">
        <v>9</v>
      </c>
      <c r="D28" s="9">
        <f t="shared" ref="D28:D29" si="21">AVERAGE(B28:C28)</f>
        <v>11.5</v>
      </c>
      <c r="E28" s="8">
        <v>10</v>
      </c>
      <c r="F28" s="8">
        <f>1901.9-1795.9</f>
        <v>106</v>
      </c>
      <c r="G28" s="49">
        <f>LOG10(D28*100*E28/F28*1000)</f>
        <v>5.0353919750888414</v>
      </c>
      <c r="H28" s="54">
        <v>0</v>
      </c>
      <c r="I28" s="54">
        <v>0</v>
      </c>
      <c r="J28" s="54">
        <f t="shared" ref="J28:J29" si="22">AVERAGE(H28:I28)</f>
        <v>0</v>
      </c>
      <c r="K28" s="54">
        <v>1</v>
      </c>
      <c r="L28" s="54">
        <v>0</v>
      </c>
      <c r="M28" s="143" t="e">
        <f t="shared" si="6"/>
        <v>#NUM!</v>
      </c>
      <c r="N28" s="58">
        <f t="shared" si="20"/>
        <v>0</v>
      </c>
      <c r="P28" s="79">
        <f>dose!P$6</f>
        <v>4.8275862068965518E-4</v>
      </c>
      <c r="Q28" s="141">
        <f t="shared" si="4"/>
        <v>4.3478260869565219E-4</v>
      </c>
      <c r="U28" s="4" t="s">
        <v>9</v>
      </c>
      <c r="V28" s="14">
        <f>LOG10((10^MEDIAN(G28,G33,G38,G43,G48))/2070)</f>
        <v>3.8794492937189897</v>
      </c>
    </row>
    <row r="29" spans="1:33" ht="17" thickBot="1" x14ac:dyDescent="0.25">
      <c r="A29" s="8" t="s">
        <v>31</v>
      </c>
      <c r="B29" s="59">
        <v>10</v>
      </c>
      <c r="C29" s="59">
        <v>4</v>
      </c>
      <c r="D29" s="9">
        <f t="shared" si="21"/>
        <v>7</v>
      </c>
      <c r="E29" s="8">
        <v>10000</v>
      </c>
      <c r="F29" s="8">
        <f>2888.2-1716.4</f>
        <v>1171.7999999999997</v>
      </c>
      <c r="G29" s="49">
        <f t="shared" ref="G29" si="23">LOG10(D29*100*E29/F29*1000)</f>
        <v>6.7762445463427587</v>
      </c>
      <c r="H29" s="54">
        <v>0</v>
      </c>
      <c r="I29" s="54">
        <v>0</v>
      </c>
      <c r="J29" s="54">
        <f t="shared" si="22"/>
        <v>0</v>
      </c>
      <c r="K29" s="54">
        <v>1</v>
      </c>
      <c r="L29" s="54">
        <v>100</v>
      </c>
      <c r="M29" s="143">
        <f t="shared" si="6"/>
        <v>2.630116510664521</v>
      </c>
      <c r="N29" s="82">
        <f>(L29/20)/(D29*E29)</f>
        <v>7.1428571428571434E-5</v>
      </c>
      <c r="O29" s="5">
        <f>LOG10(N29/P29)</f>
        <v>-0.82985807345751994</v>
      </c>
      <c r="P29" s="79">
        <f>dose!P$6</f>
        <v>4.8275862068965518E-4</v>
      </c>
      <c r="Q29" s="141">
        <f t="shared" si="4"/>
        <v>7.1428571428571431E-7</v>
      </c>
      <c r="R29" s="147">
        <f t="shared" si="10"/>
        <v>7.1433673833845281E-5</v>
      </c>
      <c r="S29" s="151">
        <f>R29/dose!$R$6</f>
        <v>0.1478983192677028</v>
      </c>
      <c r="U29" s="4" t="s">
        <v>77</v>
      </c>
      <c r="V29" s="14">
        <f>LOG10((10^MEDIAN(G29,G34,G39,G44,G49))/2070)</f>
        <v>4.10272488480574</v>
      </c>
      <c r="X29" s="176" t="s">
        <v>66</v>
      </c>
      <c r="Y29" s="177"/>
      <c r="Z29" s="177"/>
      <c r="AA29" s="177"/>
      <c r="AB29" s="177"/>
      <c r="AC29" s="177"/>
      <c r="AD29" s="177"/>
      <c r="AE29" s="177"/>
      <c r="AF29" s="177"/>
      <c r="AG29" s="178"/>
    </row>
    <row r="30" spans="1:33" x14ac:dyDescent="0.2">
      <c r="A30" s="8"/>
      <c r="B30" s="9"/>
      <c r="C30" s="9"/>
      <c r="D30" s="9"/>
      <c r="E30" s="8"/>
      <c r="F30" s="8"/>
      <c r="G30" s="13"/>
      <c r="H30" s="53"/>
      <c r="I30" s="53"/>
      <c r="J30" s="53"/>
      <c r="K30" s="53"/>
      <c r="L30" s="53"/>
      <c r="M30" s="143"/>
      <c r="N30" s="60"/>
      <c r="P30" s="79"/>
      <c r="X30" s="171" t="s">
        <v>58</v>
      </c>
      <c r="Y30" s="172"/>
      <c r="Z30" s="179" t="s">
        <v>59</v>
      </c>
      <c r="AA30" s="180"/>
      <c r="AB30" s="171" t="s">
        <v>60</v>
      </c>
      <c r="AC30" s="172"/>
      <c r="AD30" s="179" t="s">
        <v>61</v>
      </c>
      <c r="AE30" s="180"/>
      <c r="AF30" s="171" t="s">
        <v>62</v>
      </c>
      <c r="AG30" s="172"/>
    </row>
    <row r="31" spans="1:33" ht="52" thickBot="1" x14ac:dyDescent="0.25">
      <c r="A31" s="2" t="s">
        <v>33</v>
      </c>
      <c r="B31" s="167" t="s">
        <v>20</v>
      </c>
      <c r="C31" s="167"/>
      <c r="D31" s="55" t="s">
        <v>0</v>
      </c>
      <c r="E31" s="55" t="s">
        <v>2</v>
      </c>
      <c r="F31" s="55" t="s">
        <v>1</v>
      </c>
      <c r="G31" s="50" t="s">
        <v>21</v>
      </c>
      <c r="H31" s="166" t="s">
        <v>22</v>
      </c>
      <c r="I31" s="166"/>
      <c r="J31" s="56" t="s">
        <v>0</v>
      </c>
      <c r="K31" s="56" t="s">
        <v>2</v>
      </c>
      <c r="L31" s="55" t="s">
        <v>37</v>
      </c>
      <c r="M31" s="12" t="s">
        <v>69</v>
      </c>
      <c r="N31" s="51" t="s">
        <v>23</v>
      </c>
      <c r="P31" s="79"/>
      <c r="X31" s="122" t="s">
        <v>24</v>
      </c>
      <c r="Y31" s="123" t="s">
        <v>23</v>
      </c>
      <c r="Z31" s="124" t="s">
        <v>24</v>
      </c>
      <c r="AA31" s="125" t="s">
        <v>23</v>
      </c>
      <c r="AB31" s="122" t="s">
        <v>24</v>
      </c>
      <c r="AC31" s="123" t="s">
        <v>23</v>
      </c>
      <c r="AD31" s="124" t="s">
        <v>24</v>
      </c>
      <c r="AE31" s="125" t="s">
        <v>23</v>
      </c>
      <c r="AF31" s="122" t="s">
        <v>24</v>
      </c>
      <c r="AG31" s="123" t="s">
        <v>23</v>
      </c>
    </row>
    <row r="32" spans="1:33" x14ac:dyDescent="0.2">
      <c r="A32" s="8" t="s">
        <v>8</v>
      </c>
      <c r="B32" s="59">
        <v>0</v>
      </c>
      <c r="C32" s="59">
        <v>0</v>
      </c>
      <c r="D32">
        <f>AVERAGE(B32:C32)</f>
        <v>0</v>
      </c>
      <c r="E32" s="4">
        <v>1</v>
      </c>
      <c r="F32" s="4">
        <f>1878.6-1854.7</f>
        <v>23.899999999999864</v>
      </c>
      <c r="G32" s="49" t="e">
        <f>LOG10(D32*100*E32/F32*1000)</f>
        <v>#NUM!</v>
      </c>
      <c r="H32" s="53">
        <v>0</v>
      </c>
      <c r="I32" s="53">
        <v>0</v>
      </c>
      <c r="J32" s="53">
        <f>AVERAGE(H32:I32)</f>
        <v>0</v>
      </c>
      <c r="K32" s="53">
        <v>1</v>
      </c>
      <c r="L32" s="53">
        <v>0</v>
      </c>
      <c r="M32" s="143" t="e">
        <f t="shared" si="6"/>
        <v>#NUM!</v>
      </c>
      <c r="N32" s="58" t="e">
        <f t="shared" ref="N32:N34" si="24">(J32*K32)/(D32*E32)</f>
        <v>#DIV/0!</v>
      </c>
      <c r="P32" s="79" t="s">
        <v>25</v>
      </c>
      <c r="Q32" s="141" t="e">
        <f t="shared" si="4"/>
        <v>#DIV/0!</v>
      </c>
      <c r="W32" s="90" t="s">
        <v>63</v>
      </c>
      <c r="X32" s="116" t="s">
        <v>25</v>
      </c>
      <c r="Y32" s="117" t="e">
        <v>#DIV/0!</v>
      </c>
      <c r="Z32" s="118" t="s">
        <v>25</v>
      </c>
      <c r="AA32" s="119" t="e">
        <v>#DIV/0!</v>
      </c>
      <c r="AB32" s="116">
        <v>4.8275862068965518E-4</v>
      </c>
      <c r="AC32" s="117">
        <v>0</v>
      </c>
      <c r="AD32" s="120">
        <v>4.8275862068965518E-4</v>
      </c>
      <c r="AE32" s="121">
        <v>0</v>
      </c>
      <c r="AF32" s="116">
        <v>4.8275862068965518E-4</v>
      </c>
      <c r="AG32" s="117">
        <v>1.0714285714285714E-2</v>
      </c>
    </row>
    <row r="33" spans="1:33" x14ac:dyDescent="0.2">
      <c r="A33" s="8" t="s">
        <v>9</v>
      </c>
      <c r="B33" s="59">
        <v>4</v>
      </c>
      <c r="C33" s="59">
        <v>5</v>
      </c>
      <c r="D33" s="9">
        <f t="shared" ref="D33:D34" si="25">AVERAGE(B33:C33)</f>
        <v>4.5</v>
      </c>
      <c r="E33" s="8">
        <v>1</v>
      </c>
      <c r="F33" s="8">
        <f>1907.4-1798.2</f>
        <v>109.20000000000005</v>
      </c>
      <c r="G33" s="49">
        <f>LOG10(D33*100*E33/F33*1000)</f>
        <v>3.614989875406625</v>
      </c>
      <c r="H33" s="54">
        <v>0</v>
      </c>
      <c r="I33" s="54">
        <v>0</v>
      </c>
      <c r="J33" s="54">
        <f t="shared" ref="J33:J34" si="26">AVERAGE(H33:I33)</f>
        <v>0</v>
      </c>
      <c r="K33" s="54">
        <v>1</v>
      </c>
      <c r="L33" s="54">
        <v>0</v>
      </c>
      <c r="M33" s="143" t="e">
        <f t="shared" si="6"/>
        <v>#NUM!</v>
      </c>
      <c r="N33" s="58">
        <f t="shared" si="24"/>
        <v>0</v>
      </c>
      <c r="P33" s="79" t="s">
        <v>25</v>
      </c>
      <c r="Q33" s="141">
        <f t="shared" si="4"/>
        <v>1.1111111111111112E-2</v>
      </c>
      <c r="W33" s="92" t="s">
        <v>64</v>
      </c>
      <c r="X33" s="107">
        <v>4.8275862068965518E-4</v>
      </c>
      <c r="Y33" s="108">
        <v>0</v>
      </c>
      <c r="Z33" s="100" t="s">
        <v>25</v>
      </c>
      <c r="AA33" s="104">
        <v>0</v>
      </c>
      <c r="AB33" s="107">
        <v>4.8275862068965518E-4</v>
      </c>
      <c r="AC33" s="108">
        <v>0</v>
      </c>
      <c r="AD33" s="112">
        <v>4.8275862068965518E-4</v>
      </c>
      <c r="AE33" s="114">
        <v>0</v>
      </c>
      <c r="AF33" s="107">
        <v>4.8275862068965518E-4</v>
      </c>
      <c r="AG33" s="108">
        <v>6.0156250000000001E-3</v>
      </c>
    </row>
    <row r="34" spans="1:33" ht="17" thickBot="1" x14ac:dyDescent="0.25">
      <c r="A34" s="8" t="s">
        <v>31</v>
      </c>
      <c r="B34" s="59">
        <v>26</v>
      </c>
      <c r="C34" s="59">
        <v>14</v>
      </c>
      <c r="D34" s="9">
        <f t="shared" si="25"/>
        <v>20</v>
      </c>
      <c r="E34" s="8">
        <v>1</v>
      </c>
      <c r="F34" s="8">
        <f>2361-1575.4</f>
        <v>785.59999999999991</v>
      </c>
      <c r="G34" s="49">
        <f t="shared" ref="G34" si="27">LOG10(D34*100*E34/F34*1000)</f>
        <v>3.405828520885088</v>
      </c>
      <c r="H34" s="54">
        <v>0</v>
      </c>
      <c r="I34" s="54">
        <v>0</v>
      </c>
      <c r="J34" s="54">
        <f t="shared" si="26"/>
        <v>0</v>
      </c>
      <c r="K34" s="54">
        <v>1</v>
      </c>
      <c r="L34" s="54">
        <v>0</v>
      </c>
      <c r="M34" s="143" t="e">
        <f t="shared" si="6"/>
        <v>#NUM!</v>
      </c>
      <c r="N34" s="58">
        <f t="shared" si="24"/>
        <v>0</v>
      </c>
      <c r="O34" s="5" t="e">
        <f>LOG10(N34/P34)</f>
        <v>#VALUE!</v>
      </c>
      <c r="P34" s="79" t="s">
        <v>25</v>
      </c>
      <c r="Q34" s="141">
        <f t="shared" si="4"/>
        <v>2.5000000000000001E-3</v>
      </c>
      <c r="R34" s="147">
        <f t="shared" si="10"/>
        <v>0</v>
      </c>
      <c r="W34" s="93" t="s">
        <v>65</v>
      </c>
      <c r="X34" s="109">
        <v>4.8275862068965518E-4</v>
      </c>
      <c r="Y34" s="111">
        <v>7.1428571428571434E-5</v>
      </c>
      <c r="Z34" s="101" t="s">
        <v>25</v>
      </c>
      <c r="AA34" s="106">
        <v>0</v>
      </c>
      <c r="AB34" s="109">
        <v>4.8275862068965518E-4</v>
      </c>
      <c r="AC34" s="111">
        <v>7.2463768115942027E-5</v>
      </c>
      <c r="AD34" s="113">
        <v>4.8275862068965518E-4</v>
      </c>
      <c r="AE34" s="115">
        <v>3.7500000000000001E-7</v>
      </c>
      <c r="AF34" s="109">
        <v>4.8275862068965518E-4</v>
      </c>
      <c r="AG34" s="110">
        <v>1.1111111111111112E-2</v>
      </c>
    </row>
    <row r="35" spans="1:33" x14ac:dyDescent="0.2">
      <c r="A35" s="8"/>
      <c r="B35" s="9"/>
      <c r="C35" s="9"/>
      <c r="D35" s="9"/>
      <c r="E35" s="8"/>
      <c r="F35" s="4"/>
      <c r="G35" s="13"/>
      <c r="H35" s="53"/>
      <c r="I35" s="53"/>
      <c r="J35" s="53"/>
      <c r="K35" s="53"/>
      <c r="L35" s="53"/>
      <c r="M35" s="143"/>
      <c r="N35" s="60"/>
      <c r="P35" s="79"/>
    </row>
    <row r="36" spans="1:33" ht="51" x14ac:dyDescent="0.2">
      <c r="A36" s="2" t="s">
        <v>34</v>
      </c>
      <c r="B36" s="167" t="s">
        <v>20</v>
      </c>
      <c r="C36" s="167"/>
      <c r="D36" s="55" t="s">
        <v>0</v>
      </c>
      <c r="E36" s="55" t="s">
        <v>2</v>
      </c>
      <c r="F36" s="55" t="s">
        <v>1</v>
      </c>
      <c r="G36" s="50" t="s">
        <v>21</v>
      </c>
      <c r="H36" s="166" t="s">
        <v>22</v>
      </c>
      <c r="I36" s="166"/>
      <c r="J36" s="56" t="s">
        <v>0</v>
      </c>
      <c r="K36" s="56" t="s">
        <v>2</v>
      </c>
      <c r="L36" s="55" t="s">
        <v>37</v>
      </c>
      <c r="M36" s="12" t="s">
        <v>69</v>
      </c>
      <c r="N36" s="51" t="s">
        <v>23</v>
      </c>
      <c r="P36" s="79"/>
    </row>
    <row r="37" spans="1:33" x14ac:dyDescent="0.2">
      <c r="A37" s="8" t="s">
        <v>8</v>
      </c>
      <c r="B37" s="59">
        <v>30</v>
      </c>
      <c r="C37" s="59">
        <v>24</v>
      </c>
      <c r="D37">
        <f>AVERAGE(B37:C37)</f>
        <v>27</v>
      </c>
      <c r="E37" s="4">
        <v>10</v>
      </c>
      <c r="F37" s="4">
        <f>1849.7-1827</f>
        <v>22.700000000000045</v>
      </c>
      <c r="G37" s="49">
        <f>LOG10(D37*100*E37/F37*1000)</f>
        <v>6.0753379069658635</v>
      </c>
      <c r="H37" s="53">
        <v>0</v>
      </c>
      <c r="I37" s="53">
        <v>0</v>
      </c>
      <c r="J37" s="53">
        <f>AVERAGE(H37:I37)</f>
        <v>0</v>
      </c>
      <c r="K37" s="53">
        <v>1</v>
      </c>
      <c r="L37" s="53">
        <v>0</v>
      </c>
      <c r="M37" s="143" t="e">
        <f t="shared" si="6"/>
        <v>#NUM!</v>
      </c>
      <c r="N37" s="58">
        <f t="shared" ref="N37:N38" si="28">(J37*K37)/(D37*E37)</f>
        <v>0</v>
      </c>
      <c r="P37" s="79">
        <f>dose!P$6</f>
        <v>4.8275862068965518E-4</v>
      </c>
      <c r="Q37" s="141">
        <f t="shared" si="4"/>
        <v>1.8518518518518518E-4</v>
      </c>
    </row>
    <row r="38" spans="1:33" x14ac:dyDescent="0.2">
      <c r="A38" s="8" t="s">
        <v>9</v>
      </c>
      <c r="B38" s="59">
        <v>41</v>
      </c>
      <c r="C38" s="59">
        <v>44</v>
      </c>
      <c r="D38" s="9">
        <f t="shared" ref="D38:D39" si="29">AVERAGE(B38:C38)</f>
        <v>42.5</v>
      </c>
      <c r="E38" s="8">
        <v>100</v>
      </c>
      <c r="F38" s="8">
        <f>1876.3-1849.2</f>
        <v>27.099999999999909</v>
      </c>
      <c r="G38" s="49">
        <f>LOG10(D38*100*E38/F38*1000)</f>
        <v>7.1954196391759071</v>
      </c>
      <c r="H38" s="54">
        <v>0</v>
      </c>
      <c r="I38" s="54">
        <v>0</v>
      </c>
      <c r="J38" s="54">
        <f t="shared" ref="J38:J39" si="30">AVERAGE(H38:I38)</f>
        <v>0</v>
      </c>
      <c r="K38" s="54">
        <v>1</v>
      </c>
      <c r="L38" s="54">
        <v>0</v>
      </c>
      <c r="M38" s="143" t="e">
        <f t="shared" si="6"/>
        <v>#NUM!</v>
      </c>
      <c r="N38" s="58">
        <f t="shared" si="28"/>
        <v>0</v>
      </c>
      <c r="P38" s="79">
        <f>dose!P$6</f>
        <v>4.8275862068965518E-4</v>
      </c>
      <c r="Q38" s="141">
        <f t="shared" si="4"/>
        <v>1.1764705882352942E-5</v>
      </c>
    </row>
    <row r="39" spans="1:33" x14ac:dyDescent="0.2">
      <c r="A39" s="8" t="s">
        <v>31</v>
      </c>
      <c r="B39" s="59">
        <v>34</v>
      </c>
      <c r="C39" s="59">
        <v>35</v>
      </c>
      <c r="D39" s="9">
        <f t="shared" si="29"/>
        <v>34.5</v>
      </c>
      <c r="E39" s="8">
        <v>10000</v>
      </c>
      <c r="F39" s="8">
        <f>2934.9-1619.3</f>
        <v>1315.6000000000001</v>
      </c>
      <c r="G39" s="49">
        <f t="shared" ref="G39" si="31">LOG10(D39*100*E39/F39*1000)</f>
        <v>7.4186952302626574</v>
      </c>
      <c r="H39" s="54">
        <v>0</v>
      </c>
      <c r="I39" s="54">
        <v>0</v>
      </c>
      <c r="J39" s="54">
        <f t="shared" si="30"/>
        <v>0</v>
      </c>
      <c r="K39" s="54">
        <v>1</v>
      </c>
      <c r="L39" s="54">
        <v>500</v>
      </c>
      <c r="M39" s="143">
        <f t="shared" si="6"/>
        <v>3.2788161438614205</v>
      </c>
      <c r="N39" s="82">
        <f>(L39/20)/(D39*E39)</f>
        <v>7.2463768115942027E-5</v>
      </c>
      <c r="O39" s="5">
        <f>LOG10(N39/P39)</f>
        <v>-0.82360912418051846</v>
      </c>
      <c r="P39" s="79">
        <f>dose!P$6</f>
        <v>4.8275862068965518E-4</v>
      </c>
      <c r="Q39" s="141">
        <f t="shared" si="4"/>
        <v>1.4492753623188405E-7</v>
      </c>
      <c r="R39" s="147">
        <f t="shared" si="10"/>
        <v>7.2469019494166251E-5</v>
      </c>
      <c r="S39" s="151">
        <f>R39/dose!$R$6</f>
        <v>0.15004192850413592</v>
      </c>
    </row>
    <row r="40" spans="1:33" x14ac:dyDescent="0.2">
      <c r="A40" s="69"/>
      <c r="B40" s="70"/>
      <c r="C40" s="70"/>
      <c r="D40" s="70"/>
      <c r="E40" s="69"/>
      <c r="F40" s="69"/>
      <c r="G40" s="57"/>
      <c r="H40" s="71"/>
      <c r="I40" s="71"/>
      <c r="J40" s="71"/>
      <c r="K40" s="71"/>
      <c r="L40" s="71"/>
      <c r="M40" s="143"/>
      <c r="N40" s="60"/>
      <c r="O40" s="29"/>
      <c r="P40" s="79"/>
    </row>
    <row r="41" spans="1:33" ht="51" x14ac:dyDescent="0.2">
      <c r="A41" s="2" t="s">
        <v>35</v>
      </c>
      <c r="B41" s="167" t="s">
        <v>20</v>
      </c>
      <c r="C41" s="167"/>
      <c r="D41" s="55" t="s">
        <v>0</v>
      </c>
      <c r="E41" s="55" t="s">
        <v>2</v>
      </c>
      <c r="F41" s="55" t="s">
        <v>1</v>
      </c>
      <c r="G41" s="50" t="s">
        <v>21</v>
      </c>
      <c r="H41" s="166" t="s">
        <v>22</v>
      </c>
      <c r="I41" s="166"/>
      <c r="J41" s="56" t="s">
        <v>0</v>
      </c>
      <c r="K41" s="56" t="s">
        <v>2</v>
      </c>
      <c r="L41" s="55" t="s">
        <v>37</v>
      </c>
      <c r="M41" s="12" t="s">
        <v>69</v>
      </c>
      <c r="N41" s="51" t="s">
        <v>23</v>
      </c>
      <c r="P41" s="79"/>
    </row>
    <row r="42" spans="1:33" x14ac:dyDescent="0.2">
      <c r="A42" s="8" t="s">
        <v>8</v>
      </c>
      <c r="B42" s="59">
        <v>16</v>
      </c>
      <c r="C42" s="59">
        <v>18</v>
      </c>
      <c r="D42">
        <f>AVERAGE(B42:C42)</f>
        <v>17</v>
      </c>
      <c r="E42" s="4">
        <v>100</v>
      </c>
      <c r="F42" s="4">
        <f>1823.6-1809.1</f>
        <v>14.5</v>
      </c>
      <c r="G42" s="49">
        <f>LOG10(D42*100*E42/F42*1000)</f>
        <v>7.0690809191432988</v>
      </c>
      <c r="H42" s="53">
        <v>0</v>
      </c>
      <c r="I42" s="53">
        <v>0</v>
      </c>
      <c r="J42" s="53">
        <f>AVERAGE(H42:I42)</f>
        <v>0</v>
      </c>
      <c r="K42" s="53">
        <v>1</v>
      </c>
      <c r="L42" s="53">
        <v>0</v>
      </c>
      <c r="M42" s="143" t="e">
        <f t="shared" si="6"/>
        <v>#NUM!</v>
      </c>
      <c r="N42" s="58">
        <f t="shared" ref="N42:N43" si="32">(J42*K42)/(D42*E42)</f>
        <v>0</v>
      </c>
      <c r="P42" s="79">
        <f>dose!P$6</f>
        <v>4.8275862068965518E-4</v>
      </c>
      <c r="Q42" s="141">
        <f t="shared" si="4"/>
        <v>2.9411764705882354E-5</v>
      </c>
    </row>
    <row r="43" spans="1:33" x14ac:dyDescent="0.2">
      <c r="A43" s="8" t="s">
        <v>9</v>
      </c>
      <c r="B43" s="59">
        <v>96</v>
      </c>
      <c r="C43" s="59">
        <v>95</v>
      </c>
      <c r="D43" s="9">
        <f t="shared" ref="D43:D44" si="33">AVERAGE(B43:C43)</f>
        <v>95.5</v>
      </c>
      <c r="E43" s="8">
        <v>1000</v>
      </c>
      <c r="F43" s="8">
        <f>1894.4-1866.6</f>
        <v>27.800000000000182</v>
      </c>
      <c r="G43" s="49">
        <f>LOG10(D43*100*E43/F43*1000)</f>
        <v>8.5359585756656671</v>
      </c>
      <c r="H43" s="54">
        <v>0</v>
      </c>
      <c r="I43" s="54">
        <v>0</v>
      </c>
      <c r="J43" s="54">
        <f t="shared" ref="J43:J44" si="34">AVERAGE(H43:I43)</f>
        <v>0</v>
      </c>
      <c r="K43" s="54">
        <v>1</v>
      </c>
      <c r="L43" s="54">
        <v>0</v>
      </c>
      <c r="M43" s="143" t="e">
        <f t="shared" si="6"/>
        <v>#NUM!</v>
      </c>
      <c r="N43" s="58">
        <f t="shared" si="32"/>
        <v>0</v>
      </c>
      <c r="P43" s="79">
        <f>dose!P$6</f>
        <v>4.8275862068965518E-4</v>
      </c>
      <c r="Q43" s="141">
        <f t="shared" si="4"/>
        <v>5.235602094240838E-7</v>
      </c>
    </row>
    <row r="44" spans="1:33" x14ac:dyDescent="0.2">
      <c r="A44" s="8" t="s">
        <v>31</v>
      </c>
      <c r="B44" s="59">
        <v>4</v>
      </c>
      <c r="C44" s="59">
        <v>4</v>
      </c>
      <c r="D44" s="9">
        <f t="shared" si="33"/>
        <v>4</v>
      </c>
      <c r="E44" s="8">
        <v>1000000</v>
      </c>
      <c r="F44" s="8">
        <f>3373.1-1764.1</f>
        <v>1609</v>
      </c>
      <c r="G44" s="49">
        <f t="shared" ref="G44" si="35">LOG10(D44*100*E44/F44*1000)</f>
        <v>8.3955039472289332</v>
      </c>
      <c r="H44" s="54">
        <v>0</v>
      </c>
      <c r="I44" s="54">
        <v>0</v>
      </c>
      <c r="J44" s="54">
        <f t="shared" si="34"/>
        <v>0</v>
      </c>
      <c r="K44" s="54">
        <v>1</v>
      </c>
      <c r="L44" s="54">
        <v>30</v>
      </c>
      <c r="M44" s="143">
        <f t="shared" si="6"/>
        <v>1.9695352149566516</v>
      </c>
      <c r="N44" s="74">
        <f>(L44/20)/(D44*E44)</f>
        <v>3.7500000000000001E-7</v>
      </c>
      <c r="O44" s="5">
        <f>LOG10(N44/P44)</f>
        <v>-3.1096987700515633</v>
      </c>
      <c r="P44" s="79">
        <f>dose!P$6</f>
        <v>4.8275862068965518E-4</v>
      </c>
      <c r="Q44" s="141">
        <f t="shared" si="4"/>
        <v>1.2499999999999999E-8</v>
      </c>
      <c r="R44" s="147">
        <f t="shared" si="10"/>
        <v>3.7500014062505276E-7</v>
      </c>
      <c r="S44" s="151">
        <f>R44/dose!$R$6</f>
        <v>7.7641100543984136E-4</v>
      </c>
    </row>
    <row r="45" spans="1:33" x14ac:dyDescent="0.2">
      <c r="A45" s="8"/>
      <c r="B45" s="9"/>
      <c r="C45" s="9"/>
      <c r="D45" s="9"/>
      <c r="E45" s="8"/>
      <c r="F45" s="8"/>
      <c r="G45" s="13"/>
      <c r="H45" s="53"/>
      <c r="I45" s="53"/>
      <c r="J45" s="53"/>
      <c r="K45" s="53"/>
      <c r="L45" s="53"/>
      <c r="M45" s="143"/>
      <c r="N45" s="60"/>
      <c r="P45" s="79"/>
    </row>
    <row r="46" spans="1:33" ht="51" x14ac:dyDescent="0.2">
      <c r="A46" s="2" t="s">
        <v>36</v>
      </c>
      <c r="B46" s="167" t="s">
        <v>20</v>
      </c>
      <c r="C46" s="167"/>
      <c r="D46" s="55" t="s">
        <v>0</v>
      </c>
      <c r="E46" s="55" t="s">
        <v>2</v>
      </c>
      <c r="F46" s="55" t="s">
        <v>1</v>
      </c>
      <c r="G46" s="50" t="s">
        <v>21</v>
      </c>
      <c r="H46" s="166" t="s">
        <v>22</v>
      </c>
      <c r="I46" s="166"/>
      <c r="J46" s="56" t="s">
        <v>0</v>
      </c>
      <c r="K46" s="56" t="s">
        <v>2</v>
      </c>
      <c r="L46" s="55" t="s">
        <v>37</v>
      </c>
      <c r="M46" s="12" t="s">
        <v>69</v>
      </c>
      <c r="N46" s="51" t="s">
        <v>23</v>
      </c>
      <c r="P46" s="79"/>
    </row>
    <row r="47" spans="1:33" x14ac:dyDescent="0.2">
      <c r="A47" s="8" t="s">
        <v>8</v>
      </c>
      <c r="B47" s="59">
        <v>12</v>
      </c>
      <c r="C47" s="59">
        <v>16</v>
      </c>
      <c r="D47">
        <f>AVERAGE(B47:C47)</f>
        <v>14</v>
      </c>
      <c r="E47" s="4">
        <v>10</v>
      </c>
      <c r="F47" s="4">
        <f>1866.4-1843.6</f>
        <v>22.800000000000182</v>
      </c>
      <c r="G47" s="49">
        <f>LOG10(D47*100*E47/F47*1000)</f>
        <v>5.7881931886777807</v>
      </c>
      <c r="H47" s="53">
        <v>2</v>
      </c>
      <c r="I47" s="53">
        <v>1</v>
      </c>
      <c r="J47" s="53">
        <f>AVERAGE(H47:I47)</f>
        <v>1.5</v>
      </c>
      <c r="K47" s="53">
        <v>1</v>
      </c>
      <c r="L47" s="53">
        <v>8</v>
      </c>
      <c r="M47" s="143">
        <f t="shared" si="6"/>
        <v>3.244125144327505</v>
      </c>
      <c r="N47" s="58">
        <f t="shared" ref="N47:N49" si="36">(J47*K47)/(D47*E47)</f>
        <v>1.0714285714285714E-2</v>
      </c>
      <c r="P47" s="79">
        <f>dose!P$6</f>
        <v>4.8275862068965518E-4</v>
      </c>
      <c r="Q47" s="141">
        <f t="shared" si="4"/>
        <v>3.5714285714285714E-4</v>
      </c>
    </row>
    <row r="48" spans="1:33" x14ac:dyDescent="0.2">
      <c r="A48" s="8" t="s">
        <v>9</v>
      </c>
      <c r="B48" s="59">
        <v>69</v>
      </c>
      <c r="C48" s="59">
        <v>59</v>
      </c>
      <c r="D48" s="9">
        <f t="shared" ref="D48:D49" si="37">AVERAGE(B48:C48)</f>
        <v>64</v>
      </c>
      <c r="E48" s="8">
        <v>1000</v>
      </c>
      <c r="F48" s="8">
        <f>1951-1882.6</f>
        <v>68.400000000000091</v>
      </c>
      <c r="G48" s="49">
        <f>LOG10(D48*100*E48/F48*1000)</f>
        <v>7.9711238722637701</v>
      </c>
      <c r="H48" s="54">
        <v>37</v>
      </c>
      <c r="I48" s="54">
        <v>40</v>
      </c>
      <c r="J48" s="54">
        <f t="shared" ref="J48:J49" si="38">AVERAGE(H48:I48)</f>
        <v>38.5</v>
      </c>
      <c r="K48" s="54">
        <v>10</v>
      </c>
      <c r="L48" s="54" t="s">
        <v>48</v>
      </c>
      <c r="M48" s="143">
        <f>LOG10(J48*100*K48/F48*1000)</f>
        <v>5.7504046277883836</v>
      </c>
      <c r="N48" s="58">
        <f t="shared" si="36"/>
        <v>6.0156250000000001E-3</v>
      </c>
      <c r="P48" s="79">
        <f>dose!P$6</f>
        <v>4.8275862068965518E-4</v>
      </c>
      <c r="Q48" s="141">
        <f t="shared" si="4"/>
        <v>7.8125000000000004E-7</v>
      </c>
    </row>
    <row r="49" spans="1:33" x14ac:dyDescent="0.2">
      <c r="A49" s="8" t="s">
        <v>31</v>
      </c>
      <c r="B49" s="59">
        <v>6</v>
      </c>
      <c r="C49" s="59">
        <v>3</v>
      </c>
      <c r="D49" s="9">
        <f t="shared" si="37"/>
        <v>4.5</v>
      </c>
      <c r="E49" s="8">
        <v>100000</v>
      </c>
      <c r="F49" s="8">
        <f>3134.1-1742.1</f>
        <v>1392</v>
      </c>
      <c r="G49" s="49">
        <f t="shared" ref="G49" si="39">LOG10(D49*100*E49/F49*1000)</f>
        <v>7.5095732785008007</v>
      </c>
      <c r="H49" s="54">
        <v>7</v>
      </c>
      <c r="I49" s="54">
        <v>3</v>
      </c>
      <c r="J49" s="54">
        <f t="shared" si="38"/>
        <v>5</v>
      </c>
      <c r="K49" s="54">
        <v>1000</v>
      </c>
      <c r="L49" s="54" t="s">
        <v>48</v>
      </c>
      <c r="M49" s="143">
        <f>LOG10(J49*100*K49/F49*1000)</f>
        <v>5.5553307690614755</v>
      </c>
      <c r="N49" s="58">
        <f t="shared" si="36"/>
        <v>1.1111111111111112E-2</v>
      </c>
      <c r="O49" s="5">
        <f>LOG10(N49/P49)</f>
        <v>1.3620274527813931</v>
      </c>
      <c r="P49" s="79">
        <f>dose!P$6</f>
        <v>4.8275862068965518E-4</v>
      </c>
      <c r="Q49" s="141">
        <f t="shared" si="4"/>
        <v>1.1111111111111111E-7</v>
      </c>
      <c r="R49" s="147">
        <f>(J49*K49*100)/((D49*E49*100)-(J49*K49*100))</f>
        <v>1.1235955056179775E-2</v>
      </c>
      <c r="S49" s="151">
        <f>R49/dose!$R$6</f>
        <v>23.263242375601926</v>
      </c>
    </row>
    <row r="50" spans="1:33" x14ac:dyDescent="0.2">
      <c r="A50" s="63"/>
      <c r="B50" s="64"/>
      <c r="C50" s="64"/>
      <c r="D50" s="64"/>
      <c r="E50" s="63"/>
      <c r="F50" s="72"/>
      <c r="G50" s="65"/>
      <c r="H50" s="66"/>
      <c r="I50" s="66"/>
      <c r="J50" s="66"/>
      <c r="K50" s="66"/>
      <c r="L50" s="66"/>
      <c r="M50" s="144"/>
      <c r="N50" s="67"/>
      <c r="O50" s="68"/>
      <c r="P50" s="80"/>
    </row>
    <row r="51" spans="1:33" ht="51" x14ac:dyDescent="0.2">
      <c r="A51" s="2" t="s">
        <v>38</v>
      </c>
      <c r="B51" s="167" t="s">
        <v>20</v>
      </c>
      <c r="C51" s="167"/>
      <c r="D51" s="55" t="s">
        <v>0</v>
      </c>
      <c r="E51" s="55" t="s">
        <v>2</v>
      </c>
      <c r="F51" s="55" t="s">
        <v>1</v>
      </c>
      <c r="G51" s="50" t="s">
        <v>21</v>
      </c>
      <c r="H51" s="167" t="s">
        <v>22</v>
      </c>
      <c r="I51" s="167"/>
      <c r="J51" s="55" t="s">
        <v>0</v>
      </c>
      <c r="K51" s="55" t="s">
        <v>2</v>
      </c>
      <c r="L51" s="55" t="s">
        <v>37</v>
      </c>
      <c r="M51" s="12" t="s">
        <v>69</v>
      </c>
      <c r="N51" s="51" t="s">
        <v>23</v>
      </c>
      <c r="P51" s="78" t="s">
        <v>24</v>
      </c>
      <c r="U51"/>
      <c r="V51" t="s">
        <v>76</v>
      </c>
    </row>
    <row r="52" spans="1:33" x14ac:dyDescent="0.2">
      <c r="A52" s="8" t="s">
        <v>8</v>
      </c>
      <c r="B52" s="59">
        <v>24</v>
      </c>
      <c r="C52" s="59">
        <v>32</v>
      </c>
      <c r="D52">
        <f>AVERAGE(B52:C52)</f>
        <v>28</v>
      </c>
      <c r="E52" s="4">
        <v>10</v>
      </c>
      <c r="F52" s="4">
        <f>1836.9-1819.3</f>
        <v>17.600000000000136</v>
      </c>
      <c r="G52" s="49">
        <f>LOG10(D52*100*E52/F52*1000)</f>
        <v>6.2016453635280664</v>
      </c>
      <c r="H52" s="53">
        <v>0</v>
      </c>
      <c r="I52" s="53">
        <v>0</v>
      </c>
      <c r="J52" s="53">
        <f>AVERAGE(H52:I52)</f>
        <v>0</v>
      </c>
      <c r="K52" s="53">
        <v>1</v>
      </c>
      <c r="L52" s="53">
        <v>0</v>
      </c>
      <c r="M52" s="143" t="e">
        <f t="shared" si="6"/>
        <v>#NUM!</v>
      </c>
      <c r="N52" s="58">
        <f t="shared" ref="N52:N53" si="40">(J52*K52)/(D52*E52)</f>
        <v>0</v>
      </c>
      <c r="P52" s="79" t="s">
        <v>25</v>
      </c>
      <c r="Q52" s="141">
        <f t="shared" si="4"/>
        <v>1.7857142857142857E-4</v>
      </c>
      <c r="U52" s="4" t="s">
        <v>8</v>
      </c>
      <c r="V52" s="14">
        <f>LOG10((10^MEDIAN(G52,G57,G62,G67,G72))/18462)</f>
        <v>2.7514500203293277</v>
      </c>
    </row>
    <row r="53" spans="1:33" ht="17" thickBot="1" x14ac:dyDescent="0.25">
      <c r="A53" s="8" t="s">
        <v>9</v>
      </c>
      <c r="B53" s="59">
        <v>6</v>
      </c>
      <c r="C53" s="59">
        <v>11</v>
      </c>
      <c r="D53" s="9">
        <f t="shared" ref="D53:D54" si="41">AVERAGE(B53:C53)</f>
        <v>8.5</v>
      </c>
      <c r="E53" s="8">
        <v>1000</v>
      </c>
      <c r="F53" s="8">
        <f>1969.6-1919.9</f>
        <v>49.699999999999818</v>
      </c>
      <c r="G53" s="49">
        <f>LOG10(D53*100*E53/F53*1000)</f>
        <v>7.2330625369809622</v>
      </c>
      <c r="H53" s="54"/>
      <c r="I53" s="54"/>
      <c r="J53" s="54" t="e">
        <f t="shared" ref="J53:J54" si="42">AVERAGE(H53:I53)</f>
        <v>#DIV/0!</v>
      </c>
      <c r="K53" s="54"/>
      <c r="L53" s="54">
        <v>0</v>
      </c>
      <c r="M53" s="143" t="e">
        <f t="shared" si="6"/>
        <v>#NUM!</v>
      </c>
      <c r="N53" s="58" t="e">
        <f t="shared" si="40"/>
        <v>#DIV/0!</v>
      </c>
      <c r="P53" s="79">
        <f>dose!P$10</f>
        <v>5.4166666666666664E-5</v>
      </c>
      <c r="Q53" s="141">
        <f t="shared" si="4"/>
        <v>5.8823529411764709E-6</v>
      </c>
      <c r="U53" s="4" t="s">
        <v>9</v>
      </c>
      <c r="V53" s="14">
        <f t="shared" ref="V53:V54" si="43">LOG10((10^MEDIAN(G53,G58,G63,G68,G73))/18462)</f>
        <v>3.0743084534889848</v>
      </c>
    </row>
    <row r="54" spans="1:33" ht="17" thickBot="1" x14ac:dyDescent="0.25">
      <c r="A54" s="8" t="s">
        <v>31</v>
      </c>
      <c r="B54" s="59">
        <v>27</v>
      </c>
      <c r="C54" s="59">
        <v>31</v>
      </c>
      <c r="D54" s="9">
        <f t="shared" si="41"/>
        <v>29</v>
      </c>
      <c r="E54" s="8">
        <v>10000000</v>
      </c>
      <c r="F54" s="8">
        <f>3496.6-1693.3</f>
        <v>1803.3</v>
      </c>
      <c r="G54" s="49">
        <f t="shared" ref="G54" si="44">LOG10(D54*100*E54/F54*1000)</f>
        <v>10.206330015210677</v>
      </c>
      <c r="H54" s="54">
        <v>5</v>
      </c>
      <c r="I54" s="54">
        <v>6</v>
      </c>
      <c r="J54" s="54">
        <f t="shared" si="42"/>
        <v>5.5</v>
      </c>
      <c r="K54" s="54">
        <v>10</v>
      </c>
      <c r="L54" s="54" t="s">
        <v>48</v>
      </c>
      <c r="M54" s="143">
        <f>LOG10(J54*100*K54/F54*1000)</f>
        <v>3.4842947068059646</v>
      </c>
      <c r="N54" s="74">
        <f>(J54*K54)/(D54*E54)</f>
        <v>1.8965517241379309E-7</v>
      </c>
      <c r="O54" s="5">
        <f>LOG10(N54/P54)</f>
        <v>-2.455767418999943</v>
      </c>
      <c r="P54" s="79">
        <f>dose!P$10</f>
        <v>5.4166666666666664E-5</v>
      </c>
      <c r="Q54" s="141">
        <f t="shared" si="4"/>
        <v>1.7241379310344828E-10</v>
      </c>
      <c r="R54" s="147">
        <f>(J54*K54*100)/((D54*E54*100)-(J54*K54*100))</f>
        <v>1.8965520838288436E-7</v>
      </c>
      <c r="S54" s="151">
        <f>R54/dose!$R$10</f>
        <v>3.5011372687833281E-3</v>
      </c>
      <c r="U54" s="4" t="s">
        <v>77</v>
      </c>
      <c r="V54" s="14">
        <f>LOG10((10^MEDIAN(G54,G59,G64,G69,G74))/18462)</f>
        <v>4.9770696232416025</v>
      </c>
      <c r="X54" s="176" t="s">
        <v>67</v>
      </c>
      <c r="Y54" s="177"/>
      <c r="Z54" s="177"/>
      <c r="AA54" s="177"/>
      <c r="AB54" s="177"/>
      <c r="AC54" s="177"/>
      <c r="AD54" s="177"/>
      <c r="AE54" s="177"/>
      <c r="AF54" s="177"/>
      <c r="AG54" s="178"/>
    </row>
    <row r="55" spans="1:33" x14ac:dyDescent="0.2">
      <c r="A55" s="8"/>
      <c r="B55" s="9"/>
      <c r="C55" s="9"/>
      <c r="D55" s="9"/>
      <c r="E55" s="8"/>
      <c r="F55" s="8"/>
      <c r="G55" s="13"/>
      <c r="H55" s="53"/>
      <c r="I55" s="53"/>
      <c r="J55" s="53"/>
      <c r="K55" s="53"/>
      <c r="L55" s="53"/>
      <c r="M55" s="143"/>
      <c r="N55" s="60"/>
      <c r="P55" s="79"/>
      <c r="X55" s="171" t="s">
        <v>58</v>
      </c>
      <c r="Y55" s="172"/>
      <c r="Z55" s="179" t="s">
        <v>59</v>
      </c>
      <c r="AA55" s="180"/>
      <c r="AB55" s="171" t="s">
        <v>60</v>
      </c>
      <c r="AC55" s="172"/>
      <c r="AD55" s="179" t="s">
        <v>61</v>
      </c>
      <c r="AE55" s="180"/>
      <c r="AF55" s="171" t="s">
        <v>62</v>
      </c>
      <c r="AG55" s="172"/>
    </row>
    <row r="56" spans="1:33" ht="52" thickBot="1" x14ac:dyDescent="0.25">
      <c r="A56" s="2" t="s">
        <v>39</v>
      </c>
      <c r="B56" s="167" t="s">
        <v>20</v>
      </c>
      <c r="C56" s="167"/>
      <c r="D56" s="55" t="s">
        <v>0</v>
      </c>
      <c r="E56" s="55" t="s">
        <v>2</v>
      </c>
      <c r="F56" s="55" t="s">
        <v>1</v>
      </c>
      <c r="G56" s="50" t="s">
        <v>21</v>
      </c>
      <c r="H56" s="166" t="s">
        <v>22</v>
      </c>
      <c r="I56" s="166"/>
      <c r="J56" s="56" t="s">
        <v>0</v>
      </c>
      <c r="K56" s="56" t="s">
        <v>2</v>
      </c>
      <c r="L56" s="55" t="s">
        <v>37</v>
      </c>
      <c r="M56" s="12" t="s">
        <v>69</v>
      </c>
      <c r="N56" s="51" t="s">
        <v>23</v>
      </c>
      <c r="P56" s="79"/>
      <c r="X56" s="88" t="s">
        <v>24</v>
      </c>
      <c r="Y56" s="89" t="s">
        <v>23</v>
      </c>
      <c r="Z56" s="98" t="s">
        <v>24</v>
      </c>
      <c r="AA56" s="102" t="s">
        <v>23</v>
      </c>
      <c r="AB56" s="88" t="s">
        <v>24</v>
      </c>
      <c r="AC56" s="89" t="s">
        <v>23</v>
      </c>
      <c r="AD56" s="98" t="s">
        <v>24</v>
      </c>
      <c r="AE56" s="102" t="s">
        <v>23</v>
      </c>
      <c r="AF56" s="88" t="s">
        <v>24</v>
      </c>
      <c r="AG56" s="89" t="s">
        <v>23</v>
      </c>
    </row>
    <row r="57" spans="1:33" x14ac:dyDescent="0.2">
      <c r="A57" s="8" t="s">
        <v>8</v>
      </c>
      <c r="B57" s="59">
        <v>61</v>
      </c>
      <c r="C57" s="59">
        <v>54</v>
      </c>
      <c r="D57">
        <f>AVERAGE(B57:C57)</f>
        <v>57.5</v>
      </c>
      <c r="E57" s="4">
        <v>1000</v>
      </c>
      <c r="F57" s="4">
        <f>1948.1-1901.5</f>
        <v>46.599999999999909</v>
      </c>
      <c r="G57" s="49">
        <f>LOG10(D57*100*E57/F57*1000)</f>
        <v>8.0912819279996313</v>
      </c>
      <c r="H57" s="53">
        <v>0</v>
      </c>
      <c r="I57" s="53">
        <v>0</v>
      </c>
      <c r="J57" s="53">
        <f>AVERAGE(H57:I57)</f>
        <v>0</v>
      </c>
      <c r="K57" s="53">
        <v>1</v>
      </c>
      <c r="L57" s="53">
        <v>0</v>
      </c>
      <c r="M57" s="143" t="e">
        <f t="shared" si="6"/>
        <v>#NUM!</v>
      </c>
      <c r="N57" s="58">
        <f t="shared" ref="N57:N59" si="45">(J57*K57)/(D57*E57)</f>
        <v>0</v>
      </c>
      <c r="P57" s="79">
        <f>dose!P$10</f>
        <v>5.4166666666666664E-5</v>
      </c>
      <c r="Q57" s="141">
        <f t="shared" si="4"/>
        <v>8.6956521739130438E-7</v>
      </c>
      <c r="W57" s="90" t="s">
        <v>63</v>
      </c>
      <c r="X57" s="129" t="s">
        <v>25</v>
      </c>
      <c r="Y57" s="91">
        <v>0</v>
      </c>
      <c r="Z57" s="131">
        <v>5.4166666666666664E-5</v>
      </c>
      <c r="AA57" s="103">
        <v>0</v>
      </c>
      <c r="AB57" s="129">
        <v>5.4166666666666664E-5</v>
      </c>
      <c r="AC57" s="91">
        <v>0</v>
      </c>
      <c r="AD57" s="131">
        <v>5.4166666666666664E-5</v>
      </c>
      <c r="AE57" s="103">
        <v>0</v>
      </c>
      <c r="AF57" s="129">
        <v>5.4166666666666664E-5</v>
      </c>
      <c r="AG57" s="91">
        <v>0</v>
      </c>
    </row>
    <row r="58" spans="1:33" x14ac:dyDescent="0.2">
      <c r="A58" s="8" t="s">
        <v>9</v>
      </c>
      <c r="B58" s="59">
        <v>8</v>
      </c>
      <c r="C58" s="59">
        <v>11</v>
      </c>
      <c r="D58" s="9">
        <f t="shared" ref="D58:D59" si="46">AVERAGE(B58:C58)</f>
        <v>9.5</v>
      </c>
      <c r="E58" s="8">
        <v>10000</v>
      </c>
      <c r="F58" s="8">
        <f>1941.9-1836</f>
        <v>105.90000000000009</v>
      </c>
      <c r="G58" s="49">
        <f>LOG10(D58*100*E58/F58*1000)</f>
        <v>7.9528276451813626</v>
      </c>
      <c r="H58" s="54"/>
      <c r="I58" s="54"/>
      <c r="J58" s="54" t="e">
        <f t="shared" ref="J58:J59" si="47">AVERAGE(H58:I58)</f>
        <v>#DIV/0!</v>
      </c>
      <c r="K58" s="54"/>
      <c r="L58" s="54">
        <v>0</v>
      </c>
      <c r="M58" s="143" t="e">
        <f t="shared" si="6"/>
        <v>#NUM!</v>
      </c>
      <c r="N58" s="58" t="e">
        <f t="shared" si="45"/>
        <v>#DIV/0!</v>
      </c>
      <c r="P58" s="79">
        <f>dose!P$10</f>
        <v>5.4166666666666664E-5</v>
      </c>
      <c r="Q58" s="141">
        <f t="shared" si="4"/>
        <v>5.2631578947368416E-7</v>
      </c>
      <c r="W58" s="92" t="s">
        <v>64</v>
      </c>
      <c r="X58" s="126">
        <v>5.4166666666666664E-5</v>
      </c>
      <c r="Y58" s="85" t="e">
        <v>#DIV/0!</v>
      </c>
      <c r="Z58" s="132">
        <v>5.4166666666666664E-5</v>
      </c>
      <c r="AA58" s="104" t="e">
        <v>#DIV/0!</v>
      </c>
      <c r="AB58" s="126">
        <v>5.4166666666666664E-5</v>
      </c>
      <c r="AC58" s="85" t="e">
        <v>#DIV/0!</v>
      </c>
      <c r="AD58" s="132">
        <v>5.4166666666666664E-5</v>
      </c>
      <c r="AE58" s="104" t="e">
        <v>#DIV/0!</v>
      </c>
      <c r="AF58" s="126">
        <v>5.4166666666666664E-5</v>
      </c>
      <c r="AG58" s="85">
        <v>7.6499999999999997E-3</v>
      </c>
    </row>
    <row r="59" spans="1:33" ht="17" thickBot="1" x14ac:dyDescent="0.25">
      <c r="A59" s="8" t="s">
        <v>31</v>
      </c>
      <c r="B59" s="59">
        <v>23</v>
      </c>
      <c r="C59" s="59">
        <v>26</v>
      </c>
      <c r="D59" s="9">
        <f t="shared" si="46"/>
        <v>24.5</v>
      </c>
      <c r="E59" s="8">
        <v>1000000</v>
      </c>
      <c r="F59" s="8">
        <f>3084.8-1685.8</f>
        <v>1399.0000000000002</v>
      </c>
      <c r="G59" s="49">
        <f t="shared" ref="G59" si="48">LOG10(D59*100*E59/F59*1000)</f>
        <v>9.2433483698727041</v>
      </c>
      <c r="H59" s="54">
        <v>15</v>
      </c>
      <c r="I59" s="54">
        <v>11</v>
      </c>
      <c r="J59" s="54">
        <f t="shared" si="47"/>
        <v>13</v>
      </c>
      <c r="K59" s="54">
        <v>10</v>
      </c>
      <c r="L59" s="54" t="s">
        <v>49</v>
      </c>
      <c r="M59" s="145">
        <f>LOG10(J59*100*K59/F59*1000)</f>
        <v>3.9681256378150089</v>
      </c>
      <c r="N59" s="73">
        <f t="shared" si="45"/>
        <v>5.3061224489795919E-6</v>
      </c>
      <c r="O59" s="5">
        <f>LOG10(N59/P59)</f>
        <v>-1.0089548426529265</v>
      </c>
      <c r="P59" s="79">
        <f>dose!P$10</f>
        <v>5.4166666666666664E-5</v>
      </c>
      <c r="Q59" s="141">
        <f t="shared" si="4"/>
        <v>2.0408163265306122E-9</v>
      </c>
      <c r="R59" s="147">
        <f>(J59*K59*100)/((D59*E59*100)-(J59*K59*100))</f>
        <v>5.3061506040644296E-6</v>
      </c>
      <c r="S59" s="151">
        <f>R59/dose!$R$10</f>
        <v>9.7954397309046939E-2</v>
      </c>
      <c r="W59" s="93" t="s">
        <v>65</v>
      </c>
      <c r="X59" s="127">
        <v>5.4166666666666664E-5</v>
      </c>
      <c r="Y59" s="128">
        <v>1.8965517241379309E-7</v>
      </c>
      <c r="Z59" s="133">
        <v>5.4166666666666664E-5</v>
      </c>
      <c r="AA59" s="105">
        <v>5.3061224489795919E-6</v>
      </c>
      <c r="AB59" s="127">
        <v>5.4166666666666664E-5</v>
      </c>
      <c r="AC59" s="128">
        <v>6.451612903225806E-7</v>
      </c>
      <c r="AD59" s="133">
        <v>5.4166666666666664E-5</v>
      </c>
      <c r="AE59" s="134">
        <v>9.0909090909090908E-9</v>
      </c>
      <c r="AF59" s="127">
        <v>5.4166666666666664E-5</v>
      </c>
      <c r="AG59" s="130">
        <v>2.4642857142857143E-4</v>
      </c>
    </row>
    <row r="60" spans="1:33" x14ac:dyDescent="0.2">
      <c r="A60" s="8"/>
      <c r="B60" s="9"/>
      <c r="C60" s="9"/>
      <c r="D60" s="9"/>
      <c r="E60" s="8"/>
      <c r="F60" s="4"/>
      <c r="G60" s="13"/>
      <c r="H60" s="53"/>
      <c r="I60" s="53"/>
      <c r="J60" s="53"/>
      <c r="K60" s="53"/>
      <c r="L60" s="53"/>
      <c r="M60" s="143"/>
      <c r="N60" s="60"/>
      <c r="P60" s="79"/>
    </row>
    <row r="61" spans="1:33" ht="51" x14ac:dyDescent="0.2">
      <c r="A61" s="2" t="s">
        <v>40</v>
      </c>
      <c r="B61" s="167" t="s">
        <v>20</v>
      </c>
      <c r="C61" s="167"/>
      <c r="D61" s="55" t="s">
        <v>0</v>
      </c>
      <c r="E61" s="55" t="s">
        <v>2</v>
      </c>
      <c r="F61" s="55" t="s">
        <v>1</v>
      </c>
      <c r="G61" s="50" t="s">
        <v>21</v>
      </c>
      <c r="H61" s="166" t="s">
        <v>22</v>
      </c>
      <c r="I61" s="166"/>
      <c r="J61" s="56" t="s">
        <v>0</v>
      </c>
      <c r="K61" s="56" t="s">
        <v>2</v>
      </c>
      <c r="L61" s="55" t="s">
        <v>37</v>
      </c>
      <c r="M61" s="12" t="s">
        <v>69</v>
      </c>
      <c r="N61" s="51" t="s">
        <v>23</v>
      </c>
      <c r="P61" s="79"/>
    </row>
    <row r="62" spans="1:33" x14ac:dyDescent="0.2">
      <c r="A62" s="8" t="s">
        <v>8</v>
      </c>
      <c r="B62" s="59">
        <v>20</v>
      </c>
      <c r="C62" s="59">
        <v>22</v>
      </c>
      <c r="D62">
        <f>AVERAGE(B62:C62)</f>
        <v>21</v>
      </c>
      <c r="E62" s="4">
        <v>1000</v>
      </c>
      <c r="F62" s="4">
        <f>1891.6-1875.4</f>
        <v>16.199999999999818</v>
      </c>
      <c r="G62" s="49">
        <f>LOG10(D62*100*E62/F62*1000)</f>
        <v>8.1127042801912932</v>
      </c>
      <c r="H62" s="53">
        <v>0</v>
      </c>
      <c r="I62" s="53">
        <v>0</v>
      </c>
      <c r="J62" s="53">
        <f>AVERAGE(H62:I62)</f>
        <v>0</v>
      </c>
      <c r="K62" s="53">
        <v>1</v>
      </c>
      <c r="L62" s="53">
        <v>0</v>
      </c>
      <c r="M62" s="143" t="e">
        <f t="shared" si="6"/>
        <v>#NUM!</v>
      </c>
      <c r="N62" s="58">
        <f t="shared" ref="N62:N63" si="49">(J62*K62)/(D62*E62)</f>
        <v>0</v>
      </c>
      <c r="P62" s="79">
        <f>dose!P$10</f>
        <v>5.4166666666666664E-5</v>
      </c>
      <c r="Q62" s="141">
        <f t="shared" si="4"/>
        <v>2.3809523809523808E-6</v>
      </c>
    </row>
    <row r="63" spans="1:33" x14ac:dyDescent="0.2">
      <c r="A63" s="8" t="s">
        <v>9</v>
      </c>
      <c r="B63" s="59">
        <v>20</v>
      </c>
      <c r="C63" s="59">
        <v>10</v>
      </c>
      <c r="D63" s="9">
        <f t="shared" ref="D63:D64" si="50">AVERAGE(B63:C63)</f>
        <v>15</v>
      </c>
      <c r="E63" s="8">
        <v>1000</v>
      </c>
      <c r="F63" s="8">
        <f>2030-1992.5</f>
        <v>37.5</v>
      </c>
      <c r="G63" s="49">
        <f>LOG10(D63*100*E63/F63*1000)</f>
        <v>7.6020599913279625</v>
      </c>
      <c r="H63" s="54"/>
      <c r="I63" s="54"/>
      <c r="J63" s="54" t="e">
        <f t="shared" ref="J63:J64" si="51">AVERAGE(H63:I63)</f>
        <v>#DIV/0!</v>
      </c>
      <c r="K63" s="54"/>
      <c r="L63" s="54">
        <v>0</v>
      </c>
      <c r="M63" s="143" t="e">
        <f t="shared" si="6"/>
        <v>#NUM!</v>
      </c>
      <c r="N63" s="58" t="e">
        <f t="shared" si="49"/>
        <v>#DIV/0!</v>
      </c>
      <c r="P63" s="79">
        <f>dose!P$10</f>
        <v>5.4166666666666664E-5</v>
      </c>
      <c r="Q63" s="141">
        <f t="shared" si="4"/>
        <v>3.3333333333333333E-6</v>
      </c>
    </row>
    <row r="64" spans="1:33" x14ac:dyDescent="0.2">
      <c r="A64" s="8" t="s">
        <v>31</v>
      </c>
      <c r="B64" s="59">
        <v>16</v>
      </c>
      <c r="C64" s="59">
        <v>15</v>
      </c>
      <c r="D64" s="9">
        <f t="shared" si="50"/>
        <v>15.5</v>
      </c>
      <c r="E64" s="8">
        <v>100000</v>
      </c>
      <c r="F64" s="8">
        <f>3054.2-1852.8</f>
        <v>1201.3999999999999</v>
      </c>
      <c r="G64" s="49">
        <f t="shared" ref="G64" si="52">LOG10(D64*100*E64/F64*1000)</f>
        <v>8.1106440705589549</v>
      </c>
      <c r="H64" s="54">
        <v>2</v>
      </c>
      <c r="I64" s="54">
        <v>0</v>
      </c>
      <c r="J64" s="54">
        <f t="shared" si="51"/>
        <v>1</v>
      </c>
      <c r="K64" s="54">
        <v>1</v>
      </c>
      <c r="L64" s="54">
        <v>23</v>
      </c>
      <c r="M64" s="143">
        <f t="shared" si="6"/>
        <v>1.9810102127422753</v>
      </c>
      <c r="N64" s="74">
        <f>(J64*K64)/(D64*E64)</f>
        <v>6.451612903225806E-7</v>
      </c>
      <c r="O64" s="5">
        <f>LOG10(N64/P64)</f>
        <v>-1.9240638087655222</v>
      </c>
      <c r="P64" s="79">
        <f>dose!P$10</f>
        <v>5.4166666666666664E-5</v>
      </c>
      <c r="Q64" s="141">
        <f t="shared" si="4"/>
        <v>3.2258064516129035E-8</v>
      </c>
      <c r="R64" s="147">
        <f t="shared" si="10"/>
        <v>7.419360343396384E-7</v>
      </c>
      <c r="S64" s="151">
        <f>R64/dose!$R$10</f>
        <v>1.3696538697928215E-2</v>
      </c>
    </row>
    <row r="65" spans="1:33" x14ac:dyDescent="0.2">
      <c r="A65" s="69"/>
      <c r="B65" s="70"/>
      <c r="C65" s="70"/>
      <c r="D65" s="70"/>
      <c r="E65" s="69"/>
      <c r="F65" s="69"/>
      <c r="G65" s="57"/>
      <c r="H65" s="71"/>
      <c r="I65" s="71"/>
      <c r="J65" s="71"/>
      <c r="K65" s="71"/>
      <c r="L65" s="71"/>
      <c r="M65" s="143"/>
      <c r="N65" s="60"/>
      <c r="O65" s="29"/>
      <c r="P65" s="79"/>
    </row>
    <row r="66" spans="1:33" ht="51" x14ac:dyDescent="0.2">
      <c r="A66" s="2" t="s">
        <v>41</v>
      </c>
      <c r="B66" s="167" t="s">
        <v>20</v>
      </c>
      <c r="C66" s="167"/>
      <c r="D66" s="55" t="s">
        <v>0</v>
      </c>
      <c r="E66" s="55" t="s">
        <v>2</v>
      </c>
      <c r="F66" s="55" t="s">
        <v>1</v>
      </c>
      <c r="G66" s="50" t="s">
        <v>21</v>
      </c>
      <c r="H66" s="166" t="s">
        <v>22</v>
      </c>
      <c r="I66" s="166"/>
      <c r="J66" s="56" t="s">
        <v>0</v>
      </c>
      <c r="K66" s="56" t="s">
        <v>2</v>
      </c>
      <c r="L66" s="55" t="s">
        <v>37</v>
      </c>
      <c r="M66" s="12" t="s">
        <v>69</v>
      </c>
      <c r="N66" s="51" t="s">
        <v>23</v>
      </c>
      <c r="P66" s="79"/>
    </row>
    <row r="67" spans="1:33" x14ac:dyDescent="0.2">
      <c r="A67" s="8" t="s">
        <v>8</v>
      </c>
      <c r="B67" s="59">
        <v>15</v>
      </c>
      <c r="C67" s="59">
        <v>15</v>
      </c>
      <c r="D67">
        <f>AVERAGE(B67:C67)</f>
        <v>15</v>
      </c>
      <c r="E67" s="4">
        <v>100</v>
      </c>
      <c r="F67" s="4">
        <f>1846-1831.6</f>
        <v>14.400000000000091</v>
      </c>
      <c r="G67" s="49">
        <f>LOG10(D67*100*E67/F67*1000)</f>
        <v>7.0177287669604285</v>
      </c>
      <c r="H67" s="53">
        <v>0</v>
      </c>
      <c r="I67" s="53">
        <v>0</v>
      </c>
      <c r="J67" s="53">
        <f>AVERAGE(H67:I67)</f>
        <v>0</v>
      </c>
      <c r="K67" s="53">
        <v>1</v>
      </c>
      <c r="L67" s="53">
        <v>0</v>
      </c>
      <c r="M67" s="143" t="e">
        <f t="shared" si="6"/>
        <v>#NUM!</v>
      </c>
      <c r="N67" s="58">
        <f t="shared" ref="N67:N68" si="53">(J67*K67)/(D67*E67)</f>
        <v>0</v>
      </c>
      <c r="P67" s="79">
        <f>dose!P$10</f>
        <v>5.4166666666666664E-5</v>
      </c>
      <c r="Q67" s="141">
        <f t="shared" ref="Q67:Q99" si="54">1/(D67*E67*20)</f>
        <v>3.3333333333333335E-5</v>
      </c>
    </row>
    <row r="68" spans="1:33" x14ac:dyDescent="0.2">
      <c r="A68" s="8" t="s">
        <v>9</v>
      </c>
      <c r="B68" s="59">
        <v>9</v>
      </c>
      <c r="C68" s="59">
        <v>8</v>
      </c>
      <c r="D68" s="9">
        <f t="shared" ref="D68:D69" si="55">AVERAGE(B68:C68)</f>
        <v>8.5</v>
      </c>
      <c r="E68" s="8">
        <v>1000</v>
      </c>
      <c r="F68" s="8">
        <f>1814.1-1775.3</f>
        <v>38.799999999999955</v>
      </c>
      <c r="G68" s="49">
        <f>LOG10(D68*100*E68/F68*1000)</f>
        <v>7.340587200120086</v>
      </c>
      <c r="H68" s="54"/>
      <c r="I68" s="54"/>
      <c r="J68" s="54" t="e">
        <f t="shared" ref="J68:J69" si="56">AVERAGE(H68:I68)</f>
        <v>#DIV/0!</v>
      </c>
      <c r="K68" s="54"/>
      <c r="L68" s="54">
        <v>0</v>
      </c>
      <c r="M68" s="143" t="e">
        <f t="shared" si="6"/>
        <v>#NUM!</v>
      </c>
      <c r="N68" s="58" t="e">
        <f t="shared" si="53"/>
        <v>#DIV/0!</v>
      </c>
      <c r="P68" s="79">
        <f>dose!P$10</f>
        <v>5.4166666666666664E-5</v>
      </c>
      <c r="Q68" s="141">
        <f t="shared" si="54"/>
        <v>5.8823529411764709E-6</v>
      </c>
    </row>
    <row r="69" spans="1:33" x14ac:dyDescent="0.2">
      <c r="A69" s="8" t="s">
        <v>31</v>
      </c>
      <c r="B69" s="59">
        <v>43</v>
      </c>
      <c r="C69" s="59">
        <v>45</v>
      </c>
      <c r="D69" s="9">
        <f t="shared" si="55"/>
        <v>44</v>
      </c>
      <c r="E69" s="8">
        <v>1000000</v>
      </c>
      <c r="F69" s="8">
        <f>3219.7-1790</f>
        <v>1429.6999999999998</v>
      </c>
      <c r="G69" s="49">
        <f t="shared" ref="G69" si="57">LOG10(D69*100*E69/F69*1000)</f>
        <v>9.4882077593100007</v>
      </c>
      <c r="H69" s="54">
        <v>0</v>
      </c>
      <c r="I69" s="54">
        <v>0</v>
      </c>
      <c r="J69" s="54">
        <f t="shared" si="56"/>
        <v>0</v>
      </c>
      <c r="K69" s="54">
        <v>1</v>
      </c>
      <c r="L69" s="54">
        <v>8</v>
      </c>
      <c r="M69" s="143">
        <f t="shared" ref="M69:M99" si="58">LOG10(L69*5/F69*1000)</f>
        <v>1.4468150741517762</v>
      </c>
      <c r="N69" s="83">
        <f>(L69/20)/(D69*E69)</f>
        <v>9.0909090909090908E-9</v>
      </c>
      <c r="O69" s="5">
        <f>LOG10(N69/P69)</f>
        <v>-3.7751247957534559</v>
      </c>
      <c r="P69" s="79">
        <f>dose!P$10</f>
        <v>5.4166666666666664E-5</v>
      </c>
      <c r="Q69" s="141">
        <f t="shared" si="54"/>
        <v>1.1363636363636363E-9</v>
      </c>
      <c r="R69" s="147">
        <f t="shared" ref="R69:R99" si="59">(L69*5)/((D69*E69*100)-(L69*5))</f>
        <v>9.0909091735537199E-9</v>
      </c>
      <c r="S69" s="151">
        <f>R69/dose!$R$10</f>
        <v>1.6782307844874126E-4</v>
      </c>
    </row>
    <row r="70" spans="1:33" x14ac:dyDescent="0.2">
      <c r="A70" s="8"/>
      <c r="B70" s="9"/>
      <c r="C70" s="9"/>
      <c r="D70" s="9"/>
      <c r="E70" s="8"/>
      <c r="F70" s="8"/>
      <c r="G70" s="13"/>
      <c r="H70" s="53"/>
      <c r="I70" s="53"/>
      <c r="J70" s="53"/>
      <c r="K70" s="53"/>
      <c r="L70" s="53"/>
      <c r="M70" s="143"/>
      <c r="N70" s="60"/>
      <c r="P70" s="79"/>
    </row>
    <row r="71" spans="1:33" ht="51" x14ac:dyDescent="0.2">
      <c r="A71" s="2" t="s">
        <v>42</v>
      </c>
      <c r="B71" s="167" t="s">
        <v>20</v>
      </c>
      <c r="C71" s="167"/>
      <c r="D71" s="55" t="s">
        <v>0</v>
      </c>
      <c r="E71" s="55" t="s">
        <v>2</v>
      </c>
      <c r="F71" s="55" t="s">
        <v>1</v>
      </c>
      <c r="G71" s="50" t="s">
        <v>21</v>
      </c>
      <c r="H71" s="166" t="s">
        <v>22</v>
      </c>
      <c r="I71" s="166"/>
      <c r="J71" s="56" t="s">
        <v>0</v>
      </c>
      <c r="K71" s="56" t="s">
        <v>2</v>
      </c>
      <c r="L71" s="55" t="s">
        <v>37</v>
      </c>
      <c r="M71" s="12" t="s">
        <v>69</v>
      </c>
      <c r="N71" s="51" t="s">
        <v>23</v>
      </c>
      <c r="P71" s="79"/>
    </row>
    <row r="72" spans="1:33" x14ac:dyDescent="0.2">
      <c r="A72" s="8" t="s">
        <v>8</v>
      </c>
      <c r="B72" s="59">
        <v>3</v>
      </c>
      <c r="C72" s="59">
        <v>5</v>
      </c>
      <c r="D72">
        <f>AVERAGE(B72:C72)</f>
        <v>4</v>
      </c>
      <c r="E72" s="4">
        <v>1000</v>
      </c>
      <c r="F72" s="4">
        <f>1931-1887.2</f>
        <v>43.799999999999955</v>
      </c>
      <c r="G72" s="49">
        <f>LOG10(D72*100*E72/F72*1000)</f>
        <v>6.9605858808238636</v>
      </c>
      <c r="H72" s="53">
        <v>0</v>
      </c>
      <c r="I72" s="53">
        <v>0</v>
      </c>
      <c r="J72" s="53">
        <f>AVERAGE(H72:I72)</f>
        <v>0</v>
      </c>
      <c r="K72" s="53">
        <v>1</v>
      </c>
      <c r="L72" s="53">
        <v>0</v>
      </c>
      <c r="M72" s="143" t="e">
        <f t="shared" si="58"/>
        <v>#NUM!</v>
      </c>
      <c r="N72" s="58">
        <f t="shared" ref="N72:N74" si="60">(J72*K72)/(D72*E72)</f>
        <v>0</v>
      </c>
      <c r="P72" s="79">
        <f>dose!P$10</f>
        <v>5.4166666666666664E-5</v>
      </c>
      <c r="Q72" s="141">
        <f t="shared" si="54"/>
        <v>1.2500000000000001E-5</v>
      </c>
    </row>
    <row r="73" spans="1:33" x14ac:dyDescent="0.2">
      <c r="A73" s="8" t="s">
        <v>9</v>
      </c>
      <c r="B73" s="59">
        <v>4</v>
      </c>
      <c r="C73" s="59">
        <v>2</v>
      </c>
      <c r="D73" s="9">
        <f t="shared" ref="D73:D74" si="61">AVERAGE(B73:C73)</f>
        <v>3</v>
      </c>
      <c r="E73" s="8">
        <v>1000</v>
      </c>
      <c r="F73" s="8">
        <f>1839-1825</f>
        <v>14</v>
      </c>
      <c r="G73" s="49">
        <f>LOG10(D73*100*E73/F73*1000)</f>
        <v>7.3309932190414244</v>
      </c>
      <c r="H73" s="54"/>
      <c r="I73" s="54"/>
      <c r="J73" s="54" t="e">
        <f t="shared" ref="J73:J74" si="62">AVERAGE(H73:I73)</f>
        <v>#DIV/0!</v>
      </c>
      <c r="K73" s="54"/>
      <c r="L73" s="54">
        <v>459</v>
      </c>
      <c r="M73" s="143">
        <f t="shared" si="58"/>
        <v>5.2146546541950416</v>
      </c>
      <c r="N73" s="58">
        <f>(L73/20)/(D73*E73)</f>
        <v>7.6499999999999997E-3</v>
      </c>
      <c r="P73" s="79">
        <f>dose!P$10</f>
        <v>5.4166666666666664E-5</v>
      </c>
      <c r="Q73" s="141">
        <f t="shared" si="54"/>
        <v>1.6666666666666667E-5</v>
      </c>
    </row>
    <row r="74" spans="1:33" x14ac:dyDescent="0.2">
      <c r="A74" s="8" t="s">
        <v>31</v>
      </c>
      <c r="B74" s="59">
        <v>16</v>
      </c>
      <c r="C74" s="59">
        <v>12</v>
      </c>
      <c r="D74" s="9">
        <f t="shared" si="61"/>
        <v>14</v>
      </c>
      <c r="E74" s="8">
        <v>1000000</v>
      </c>
      <c r="F74" s="8">
        <f>3383.8-1762</f>
        <v>1621.8000000000002</v>
      </c>
      <c r="G74" s="49">
        <f t="shared" ref="G74" si="63">LOG10(D74*100*E74/F74*1000)</f>
        <v>8.9361307395958693</v>
      </c>
      <c r="H74" s="54">
        <v>35</v>
      </c>
      <c r="I74" s="54">
        <v>34</v>
      </c>
      <c r="J74" s="54">
        <f t="shared" si="62"/>
        <v>34.5</v>
      </c>
      <c r="K74" s="54">
        <v>100</v>
      </c>
      <c r="L74" s="54" t="s">
        <v>48</v>
      </c>
      <c r="M74" s="143">
        <f>LOG10(J74*100*K74/F74*1000)</f>
        <v>5.3278217989909047</v>
      </c>
      <c r="N74" s="75">
        <f t="shared" si="60"/>
        <v>2.4642857142857143E-4</v>
      </c>
      <c r="O74" s="5">
        <f>LOG10(N74/P74)</f>
        <v>0.65795894879980543</v>
      </c>
      <c r="P74" s="79">
        <f>dose!P$10</f>
        <v>5.4166666666666664E-5</v>
      </c>
      <c r="Q74" s="141">
        <f t="shared" si="54"/>
        <v>3.5714285714285715E-9</v>
      </c>
      <c r="R74" s="147">
        <f>(J74*K74*100)/((D74*E74*100)-(J74*K74*100))</f>
        <v>2.4648931343795437E-4</v>
      </c>
      <c r="S74" s="151">
        <f>R74/dose!$R$10</f>
        <v>4.5503254510795657</v>
      </c>
    </row>
    <row r="75" spans="1:33" x14ac:dyDescent="0.2">
      <c r="A75" s="63"/>
      <c r="B75" s="64"/>
      <c r="C75" s="64"/>
      <c r="D75" s="64"/>
      <c r="E75" s="63"/>
      <c r="F75" s="72"/>
      <c r="G75" s="65"/>
      <c r="H75" s="66"/>
      <c r="I75" s="66"/>
      <c r="J75" s="66"/>
      <c r="K75" s="66"/>
      <c r="L75" s="66"/>
      <c r="M75" s="144"/>
      <c r="N75" s="67"/>
      <c r="O75" s="68"/>
      <c r="P75" s="80"/>
    </row>
    <row r="76" spans="1:33" ht="51" x14ac:dyDescent="0.2">
      <c r="A76" s="2" t="s">
        <v>43</v>
      </c>
      <c r="B76" s="167" t="s">
        <v>20</v>
      </c>
      <c r="C76" s="167"/>
      <c r="D76" s="55" t="s">
        <v>0</v>
      </c>
      <c r="E76" s="55" t="s">
        <v>2</v>
      </c>
      <c r="F76" s="55" t="s">
        <v>1</v>
      </c>
      <c r="G76" s="50" t="s">
        <v>21</v>
      </c>
      <c r="H76" s="167" t="s">
        <v>22</v>
      </c>
      <c r="I76" s="167"/>
      <c r="J76" s="55" t="s">
        <v>0</v>
      </c>
      <c r="K76" s="55" t="s">
        <v>2</v>
      </c>
      <c r="L76" s="55" t="s">
        <v>37</v>
      </c>
      <c r="M76" s="12" t="s">
        <v>69</v>
      </c>
      <c r="N76" s="51" t="s">
        <v>23</v>
      </c>
      <c r="P76" s="78" t="s">
        <v>24</v>
      </c>
      <c r="U76"/>
      <c r="V76" t="s">
        <v>76</v>
      </c>
    </row>
    <row r="77" spans="1:33" x14ac:dyDescent="0.2">
      <c r="A77" s="8" t="s">
        <v>8</v>
      </c>
      <c r="B77" s="59">
        <v>19</v>
      </c>
      <c r="C77" s="59">
        <v>24</v>
      </c>
      <c r="D77">
        <f>AVERAGE(B77:C77)</f>
        <v>21.5</v>
      </c>
      <c r="E77" s="4">
        <v>1</v>
      </c>
      <c r="F77" s="4">
        <f>1806.5-1766.3</f>
        <v>40.200000000000045</v>
      </c>
      <c r="G77" s="49">
        <f>LOG10(D77*100*E77/F77*1000)</f>
        <v>4.7282124068311351</v>
      </c>
      <c r="H77" s="53">
        <v>0</v>
      </c>
      <c r="I77" s="53">
        <v>0</v>
      </c>
      <c r="J77" s="53">
        <f>AVERAGE(H77:I77)</f>
        <v>0</v>
      </c>
      <c r="K77" s="53">
        <v>1</v>
      </c>
      <c r="L77" s="53">
        <v>0</v>
      </c>
      <c r="M77" s="143" t="e">
        <f t="shared" si="58"/>
        <v>#NUM!</v>
      </c>
      <c r="N77" s="58">
        <f t="shared" ref="N77" si="64">(J77*K77)/(D77*E77)</f>
        <v>0</v>
      </c>
      <c r="P77" s="79" t="s">
        <v>25</v>
      </c>
      <c r="Q77" s="141">
        <f t="shared" si="54"/>
        <v>2.3255813953488372E-3</v>
      </c>
      <c r="U77" s="4" t="s">
        <v>8</v>
      </c>
      <c r="V77" s="14">
        <f>LOG10((10^MEDIAN(G77,G82,G87,G92,G97))/105000)</f>
        <v>2.6935749724493134</v>
      </c>
    </row>
    <row r="78" spans="1:33" ht="17" thickBot="1" x14ac:dyDescent="0.25">
      <c r="A78" s="8" t="s">
        <v>9</v>
      </c>
      <c r="B78" s="59">
        <v>33</v>
      </c>
      <c r="C78" s="59">
        <v>24</v>
      </c>
      <c r="D78" s="9">
        <f t="shared" ref="D78:D79" si="65">AVERAGE(B78:C78)</f>
        <v>28.5</v>
      </c>
      <c r="E78" s="8">
        <v>1000</v>
      </c>
      <c r="F78" s="8">
        <f>1834-1744.7</f>
        <v>89.299999999999955</v>
      </c>
      <c r="G78" s="49">
        <f>LOG10(D78*100*E78/F78*1000)</f>
        <v>7.5039934011199643</v>
      </c>
      <c r="H78" s="54"/>
      <c r="I78" s="54"/>
      <c r="J78" s="54" t="e">
        <f t="shared" ref="J78:J79" si="66">AVERAGE(H78:I78)</f>
        <v>#DIV/0!</v>
      </c>
      <c r="K78" s="54"/>
      <c r="L78" s="54">
        <v>1</v>
      </c>
      <c r="M78" s="143">
        <f t="shared" si="58"/>
        <v>1.7481185454474726</v>
      </c>
      <c r="N78" s="73">
        <f>(L78/20)/(D78*E78)</f>
        <v>1.7543859649122807E-6</v>
      </c>
      <c r="P78" s="79">
        <f>dose!P$14</f>
        <v>9.5238095238095231E-6</v>
      </c>
      <c r="Q78" s="141">
        <f t="shared" si="54"/>
        <v>1.7543859649122807E-6</v>
      </c>
      <c r="U78" s="4" t="s">
        <v>9</v>
      </c>
      <c r="V78" s="14">
        <f t="shared" ref="V78:V81" si="67">LOG10((10^MEDIAN(G78,G83,G88,G93,G98))/105000)</f>
        <v>2.604351788107548</v>
      </c>
    </row>
    <row r="79" spans="1:33" ht="17" thickBot="1" x14ac:dyDescent="0.25">
      <c r="A79" s="8" t="s">
        <v>31</v>
      </c>
      <c r="B79" s="59">
        <v>30</v>
      </c>
      <c r="C79" s="59">
        <v>30</v>
      </c>
      <c r="D79" s="9">
        <f t="shared" si="65"/>
        <v>30</v>
      </c>
      <c r="E79" s="8">
        <v>1000000</v>
      </c>
      <c r="F79" s="8">
        <f>3316.1-1758.6</f>
        <v>1557.5</v>
      </c>
      <c r="G79" s="49">
        <f t="shared" ref="G79" si="68">LOG10(D79*100*E79/F79*1000)</f>
        <v>9.2846931993884549</v>
      </c>
      <c r="H79" s="54">
        <v>0</v>
      </c>
      <c r="I79" s="54">
        <v>0</v>
      </c>
      <c r="J79" s="54">
        <f t="shared" si="66"/>
        <v>0</v>
      </c>
      <c r="K79" s="54">
        <v>1</v>
      </c>
      <c r="L79" s="54">
        <v>6</v>
      </c>
      <c r="M79" s="143">
        <f t="shared" si="58"/>
        <v>1.2846931993884552</v>
      </c>
      <c r="N79" s="84">
        <f>(L79/20)/(D79*E79)</f>
        <v>1E-8</v>
      </c>
      <c r="O79" s="5">
        <f>LOG10(N79/P79)</f>
        <v>-2.9788107009300617</v>
      </c>
      <c r="P79" s="79">
        <f>dose!P$14</f>
        <v>9.5238095238095231E-6</v>
      </c>
      <c r="Q79" s="141">
        <f t="shared" si="54"/>
        <v>1.6666666666666667E-9</v>
      </c>
      <c r="R79" s="147">
        <f t="shared" si="59"/>
        <v>1.00000001E-8</v>
      </c>
      <c r="S79" s="151">
        <f>R79/dose!$R$14</f>
        <v>1.0499900104999E-3</v>
      </c>
      <c r="U79" s="4" t="s">
        <v>77</v>
      </c>
      <c r="V79" s="14">
        <f>LOG10((10^MEDIAN(G79,G84,G89,G94,G99))/105000)</f>
        <v>4.2635039003185184</v>
      </c>
      <c r="X79" s="176" t="s">
        <v>68</v>
      </c>
      <c r="Y79" s="177"/>
      <c r="Z79" s="177"/>
      <c r="AA79" s="177"/>
      <c r="AB79" s="177"/>
      <c r="AC79" s="177"/>
      <c r="AD79" s="177"/>
      <c r="AE79" s="177"/>
      <c r="AF79" s="177"/>
      <c r="AG79" s="178"/>
    </row>
    <row r="80" spans="1:33" x14ac:dyDescent="0.2">
      <c r="A80" s="8"/>
      <c r="B80" s="9"/>
      <c r="C80" s="9"/>
      <c r="D80" s="9"/>
      <c r="E80" s="8"/>
      <c r="F80" s="8"/>
      <c r="G80" s="13"/>
      <c r="H80" s="53"/>
      <c r="I80" s="53"/>
      <c r="J80" s="53"/>
      <c r="K80" s="53"/>
      <c r="L80" s="53"/>
      <c r="M80" s="143"/>
      <c r="N80" s="60"/>
      <c r="P80" s="79"/>
      <c r="V80" s="14"/>
      <c r="X80" s="171" t="s">
        <v>58</v>
      </c>
      <c r="Y80" s="172"/>
      <c r="Z80" s="179" t="s">
        <v>59</v>
      </c>
      <c r="AA80" s="180"/>
      <c r="AB80" s="171" t="s">
        <v>60</v>
      </c>
      <c r="AC80" s="172"/>
      <c r="AD80" s="179" t="s">
        <v>61</v>
      </c>
      <c r="AE80" s="180"/>
      <c r="AF80" s="171" t="s">
        <v>62</v>
      </c>
      <c r="AG80" s="172"/>
    </row>
    <row r="81" spans="1:33" ht="52" thickBot="1" x14ac:dyDescent="0.25">
      <c r="A81" s="2" t="s">
        <v>44</v>
      </c>
      <c r="B81" s="167" t="s">
        <v>20</v>
      </c>
      <c r="C81" s="167"/>
      <c r="D81" s="55" t="s">
        <v>0</v>
      </c>
      <c r="E81" s="55" t="s">
        <v>2</v>
      </c>
      <c r="F81" s="55" t="s">
        <v>1</v>
      </c>
      <c r="G81" s="50" t="s">
        <v>21</v>
      </c>
      <c r="H81" s="166" t="s">
        <v>22</v>
      </c>
      <c r="I81" s="166"/>
      <c r="J81" s="56" t="s">
        <v>0</v>
      </c>
      <c r="K81" s="56" t="s">
        <v>2</v>
      </c>
      <c r="L81" s="55" t="s">
        <v>37</v>
      </c>
      <c r="M81" s="12" t="s">
        <v>69</v>
      </c>
      <c r="N81" s="51" t="s">
        <v>23</v>
      </c>
      <c r="P81" s="79"/>
      <c r="V81" s="14"/>
      <c r="X81" s="88" t="s">
        <v>24</v>
      </c>
      <c r="Y81" s="89" t="s">
        <v>23</v>
      </c>
      <c r="Z81" s="98" t="s">
        <v>24</v>
      </c>
      <c r="AA81" s="102" t="s">
        <v>23</v>
      </c>
      <c r="AB81" s="88" t="s">
        <v>24</v>
      </c>
      <c r="AC81" s="89" t="s">
        <v>23</v>
      </c>
      <c r="AD81" s="98" t="s">
        <v>24</v>
      </c>
      <c r="AE81" s="102" t="s">
        <v>23</v>
      </c>
      <c r="AF81" s="88" t="s">
        <v>24</v>
      </c>
      <c r="AG81" s="89" t="s">
        <v>23</v>
      </c>
    </row>
    <row r="82" spans="1:33" x14ac:dyDescent="0.2">
      <c r="A82" s="8" t="s">
        <v>8</v>
      </c>
      <c r="B82" s="59">
        <v>15</v>
      </c>
      <c r="C82" s="59">
        <v>13</v>
      </c>
      <c r="D82">
        <f>AVERAGE(B82:C82)</f>
        <v>14</v>
      </c>
      <c r="E82" s="4">
        <v>1000</v>
      </c>
      <c r="F82" s="4">
        <f>1770.2-1743.2</f>
        <v>27</v>
      </c>
      <c r="G82" s="49">
        <f>LOG10(D82*100*E82/F82*1000)</f>
        <v>7.7147642715192504</v>
      </c>
      <c r="H82" s="53">
        <v>0</v>
      </c>
      <c r="I82" s="53">
        <v>0</v>
      </c>
      <c r="J82" s="53">
        <f>AVERAGE(H82:I82)</f>
        <v>0</v>
      </c>
      <c r="K82" s="53">
        <v>1</v>
      </c>
      <c r="L82" s="53">
        <v>0</v>
      </c>
      <c r="M82" s="143" t="e">
        <f t="shared" si="58"/>
        <v>#NUM!</v>
      </c>
      <c r="N82" s="58">
        <f t="shared" ref="N82:N83" si="69">(J82*K82)/(D82*E82)</f>
        <v>0</v>
      </c>
      <c r="P82" s="79">
        <f>dose!P$14</f>
        <v>9.5238095238095231E-6</v>
      </c>
      <c r="Q82" s="141">
        <f t="shared" si="54"/>
        <v>3.5714285714285714E-6</v>
      </c>
      <c r="W82" s="90" t="s">
        <v>63</v>
      </c>
      <c r="X82" s="135" t="s">
        <v>25</v>
      </c>
      <c r="Y82" s="91">
        <v>0</v>
      </c>
      <c r="Z82" s="136">
        <v>9.5238095238095231E-6</v>
      </c>
      <c r="AA82" s="103">
        <v>0</v>
      </c>
      <c r="AB82" s="135">
        <v>9.5238095238095231E-6</v>
      </c>
      <c r="AC82" s="91">
        <v>0</v>
      </c>
      <c r="AD82" s="136">
        <v>9.5238095238095231E-6</v>
      </c>
      <c r="AE82" s="103">
        <v>0</v>
      </c>
      <c r="AF82" s="135" t="s">
        <v>25</v>
      </c>
      <c r="AG82" s="91">
        <v>0</v>
      </c>
    </row>
    <row r="83" spans="1:33" x14ac:dyDescent="0.2">
      <c r="A83" s="8" t="s">
        <v>9</v>
      </c>
      <c r="B83" s="59">
        <v>16</v>
      </c>
      <c r="C83" s="59">
        <v>22</v>
      </c>
      <c r="D83" s="9">
        <f t="shared" ref="D83:D84" si="70">AVERAGE(B83:C83)</f>
        <v>19</v>
      </c>
      <c r="E83" s="8">
        <v>1000</v>
      </c>
      <c r="F83" s="8">
        <f>1864.9-1819.9</f>
        <v>45</v>
      </c>
      <c r="G83" s="49">
        <f>LOG10(D83*100*E83/F83*1000)</f>
        <v>7.6255410871774849</v>
      </c>
      <c r="H83" s="54"/>
      <c r="I83" s="54"/>
      <c r="J83" s="54" t="e">
        <f t="shared" ref="J83:J84" si="71">AVERAGE(H83:I83)</f>
        <v>#DIV/0!</v>
      </c>
      <c r="K83" s="54"/>
      <c r="L83" s="54">
        <v>0</v>
      </c>
      <c r="M83" s="143" t="e">
        <f t="shared" si="58"/>
        <v>#NUM!</v>
      </c>
      <c r="N83" s="58" t="e">
        <f t="shared" si="69"/>
        <v>#DIV/0!</v>
      </c>
      <c r="P83" s="79">
        <f>dose!P$14</f>
        <v>9.5238095238095231E-6</v>
      </c>
      <c r="Q83" s="141">
        <f t="shared" si="54"/>
        <v>2.6315789473684211E-6</v>
      </c>
      <c r="W83" s="92" t="s">
        <v>64</v>
      </c>
      <c r="X83" s="107">
        <v>9.5238095238095231E-6</v>
      </c>
      <c r="Y83" s="137">
        <v>1.7543859649122807E-6</v>
      </c>
      <c r="Z83" s="112">
        <v>9.5238095238095231E-6</v>
      </c>
      <c r="AA83" s="104" t="e">
        <v>#DIV/0!</v>
      </c>
      <c r="AB83" s="107">
        <v>9.5238095238095231E-6</v>
      </c>
      <c r="AC83" s="85" t="e">
        <v>#DIV/0!</v>
      </c>
      <c r="AD83" s="112">
        <v>9.5238095238095231E-6</v>
      </c>
      <c r="AE83" s="104" t="e">
        <v>#DIV/0!</v>
      </c>
      <c r="AF83" s="107">
        <v>9.5238095238095231E-6</v>
      </c>
      <c r="AG83" s="85" t="e">
        <v>#DIV/0!</v>
      </c>
    </row>
    <row r="84" spans="1:33" ht="17" thickBot="1" x14ac:dyDescent="0.25">
      <c r="A84" s="8" t="s">
        <v>31</v>
      </c>
      <c r="B84" s="59">
        <v>46</v>
      </c>
      <c r="C84" s="59">
        <v>45</v>
      </c>
      <c r="D84" s="9">
        <f t="shared" si="70"/>
        <v>45.5</v>
      </c>
      <c r="E84" s="8">
        <v>100000</v>
      </c>
      <c r="F84" s="8">
        <f>3154-1752.1</f>
        <v>1401.9</v>
      </c>
      <c r="G84" s="49">
        <f t="shared" ref="G84" si="72">LOG10(D84*100*E84/F84*1000)</f>
        <v>8.5112943609131371</v>
      </c>
      <c r="H84" s="54">
        <v>0</v>
      </c>
      <c r="I84" s="54">
        <v>0</v>
      </c>
      <c r="J84" s="54">
        <f t="shared" si="71"/>
        <v>0</v>
      </c>
      <c r="K84" s="54">
        <v>1</v>
      </c>
      <c r="L84" s="54">
        <v>50</v>
      </c>
      <c r="M84" s="143">
        <f t="shared" si="58"/>
        <v>2.2512229729280619</v>
      </c>
      <c r="N84" s="74">
        <f>(L84/20)/(D84*E84)</f>
        <v>5.494505494505495E-7</v>
      </c>
      <c r="O84" s="5">
        <f>LOG10(N84/P84)</f>
        <v>-1.2388820889151366</v>
      </c>
      <c r="P84" s="79">
        <f>dose!P$14</f>
        <v>9.5238095238095231E-6</v>
      </c>
      <c r="Q84" s="141">
        <f t="shared" si="54"/>
        <v>1.0989010989010988E-8</v>
      </c>
      <c r="R84" s="147">
        <f t="shared" si="59"/>
        <v>5.4945085134662166E-7</v>
      </c>
      <c r="S84" s="151">
        <f>R84/dose!$R$14</f>
        <v>5.7691789940543921E-2</v>
      </c>
      <c r="W84" s="93" t="s">
        <v>65</v>
      </c>
      <c r="X84" s="109">
        <v>9.5238095238095231E-6</v>
      </c>
      <c r="Y84" s="138">
        <v>1E-8</v>
      </c>
      <c r="Z84" s="113">
        <v>9.5238095238095231E-6</v>
      </c>
      <c r="AA84" s="139">
        <v>5.494505494505495E-7</v>
      </c>
      <c r="AB84" s="109">
        <v>9.5238095238095231E-6</v>
      </c>
      <c r="AC84" s="138">
        <v>3.4090909090909093E-8</v>
      </c>
      <c r="AD84" s="113">
        <v>9.5238095238095231E-6</v>
      </c>
      <c r="AE84" s="134">
        <v>1.75E-9</v>
      </c>
      <c r="AF84" s="109">
        <v>9.5238095238095231E-6</v>
      </c>
      <c r="AG84" s="86">
        <v>0</v>
      </c>
    </row>
    <row r="85" spans="1:33" x14ac:dyDescent="0.2">
      <c r="A85" s="8"/>
      <c r="B85" s="9"/>
      <c r="C85" s="9"/>
      <c r="D85" s="9"/>
      <c r="E85" s="8"/>
      <c r="F85" s="4"/>
      <c r="G85" s="13"/>
      <c r="H85" s="53"/>
      <c r="I85" s="53"/>
      <c r="J85" s="53"/>
      <c r="K85" s="53"/>
      <c r="L85" s="53"/>
      <c r="M85" s="143"/>
      <c r="N85" s="60"/>
      <c r="P85" s="79"/>
    </row>
    <row r="86" spans="1:33" ht="51" x14ac:dyDescent="0.2">
      <c r="A86" s="2" t="s">
        <v>45</v>
      </c>
      <c r="B86" s="167" t="s">
        <v>20</v>
      </c>
      <c r="C86" s="167"/>
      <c r="D86" s="55" t="s">
        <v>0</v>
      </c>
      <c r="E86" s="55" t="s">
        <v>2</v>
      </c>
      <c r="F86" s="55" t="s">
        <v>1</v>
      </c>
      <c r="G86" s="50" t="s">
        <v>21</v>
      </c>
      <c r="H86" s="166" t="s">
        <v>22</v>
      </c>
      <c r="I86" s="166"/>
      <c r="J86" s="56" t="s">
        <v>0</v>
      </c>
      <c r="K86" s="56" t="s">
        <v>2</v>
      </c>
      <c r="L86" s="55" t="s">
        <v>37</v>
      </c>
      <c r="M86" s="12" t="s">
        <v>69</v>
      </c>
      <c r="N86" s="51" t="s">
        <v>23</v>
      </c>
      <c r="P86" s="79"/>
    </row>
    <row r="87" spans="1:33" x14ac:dyDescent="0.2">
      <c r="A87" s="8" t="s">
        <v>8</v>
      </c>
      <c r="B87" s="59">
        <v>24</v>
      </c>
      <c r="C87" s="59">
        <v>24</v>
      </c>
      <c r="D87">
        <f>AVERAGE(B87:C87)</f>
        <v>24</v>
      </c>
      <c r="E87" s="4">
        <v>1000</v>
      </c>
      <c r="F87" s="4">
        <f>1914.2-1896.1</f>
        <v>18.100000000000136</v>
      </c>
      <c r="G87" s="49">
        <f>LOG10(D87*100*E87/F87*1000)</f>
        <v>8.1225326668424174</v>
      </c>
      <c r="H87" s="53">
        <v>0</v>
      </c>
      <c r="I87" s="53">
        <v>0</v>
      </c>
      <c r="J87" s="53">
        <f>AVERAGE(H87:I87)</f>
        <v>0</v>
      </c>
      <c r="K87" s="53">
        <v>1</v>
      </c>
      <c r="L87" s="53">
        <v>0</v>
      </c>
      <c r="M87" s="143" t="e">
        <f t="shared" si="58"/>
        <v>#NUM!</v>
      </c>
      <c r="N87" s="58">
        <f t="shared" ref="N87:N88" si="73">(J87*K87)/(D87*E87)</f>
        <v>0</v>
      </c>
      <c r="P87" s="79">
        <f>dose!P$14</f>
        <v>9.5238095238095231E-6</v>
      </c>
      <c r="Q87" s="141">
        <f t="shared" si="54"/>
        <v>2.0833333333333334E-6</v>
      </c>
    </row>
    <row r="88" spans="1:33" x14ac:dyDescent="0.2">
      <c r="A88" s="8" t="s">
        <v>9</v>
      </c>
      <c r="B88" s="59">
        <v>40</v>
      </c>
      <c r="C88" s="59">
        <v>25</v>
      </c>
      <c r="D88" s="9">
        <f t="shared" ref="D88:D89" si="74">AVERAGE(B88:C88)</f>
        <v>32.5</v>
      </c>
      <c r="E88" s="8">
        <v>1000</v>
      </c>
      <c r="F88" s="8">
        <f>1851.3-1809.4</f>
        <v>41.899999999999864</v>
      </c>
      <c r="G88" s="49">
        <f>LOG10(D88*100*E88/F88*1000)</f>
        <v>7.8896693380125802</v>
      </c>
      <c r="H88" s="54"/>
      <c r="I88" s="54"/>
      <c r="J88" s="54" t="e">
        <f t="shared" ref="J88:J89" si="75">AVERAGE(H88:I88)</f>
        <v>#DIV/0!</v>
      </c>
      <c r="K88" s="54"/>
      <c r="L88" s="54">
        <v>0</v>
      </c>
      <c r="M88" s="143" t="e">
        <f t="shared" si="58"/>
        <v>#NUM!</v>
      </c>
      <c r="N88" s="58" t="e">
        <f t="shared" si="73"/>
        <v>#DIV/0!</v>
      </c>
      <c r="P88" s="79">
        <f>dose!P$14</f>
        <v>9.5238095238095231E-6</v>
      </c>
      <c r="Q88" s="141">
        <f t="shared" si="54"/>
        <v>1.5384615384615385E-6</v>
      </c>
    </row>
    <row r="89" spans="1:33" x14ac:dyDescent="0.2">
      <c r="A89" s="8" t="s">
        <v>31</v>
      </c>
      <c r="B89" s="59">
        <v>47</v>
      </c>
      <c r="C89" s="59">
        <v>41</v>
      </c>
      <c r="D89" s="9">
        <f t="shared" si="74"/>
        <v>44</v>
      </c>
      <c r="E89" s="8">
        <v>1000000</v>
      </c>
      <c r="F89" s="8">
        <f>2963-1717.3</f>
        <v>1245.7</v>
      </c>
      <c r="G89" s="49">
        <f t="shared" ref="G89" si="76">LOG10(D89*100*E89/F89*1000)</f>
        <v>9.5480392120377413</v>
      </c>
      <c r="H89" s="54">
        <v>0</v>
      </c>
      <c r="I89" s="54">
        <v>0</v>
      </c>
      <c r="J89" s="54">
        <f t="shared" si="75"/>
        <v>0</v>
      </c>
      <c r="K89" s="54">
        <v>1</v>
      </c>
      <c r="L89" s="54">
        <v>30</v>
      </c>
      <c r="M89" s="143">
        <f t="shared" si="58"/>
        <v>2.0806777946072348</v>
      </c>
      <c r="N89" s="84">
        <f>(L89/20)/(D89*E89)</f>
        <v>3.4090909090909093E-8</v>
      </c>
      <c r="O89" s="5">
        <f>LOG10(N89/P89)</f>
        <v>-2.4461721183605682</v>
      </c>
      <c r="P89" s="79">
        <f>dose!P$14</f>
        <v>9.5238095238095231E-6</v>
      </c>
      <c r="Q89" s="141">
        <f t="shared" si="54"/>
        <v>1.1363636363636363E-9</v>
      </c>
      <c r="R89" s="147">
        <f t="shared" si="59"/>
        <v>3.409091025309921E-8</v>
      </c>
      <c r="S89" s="151">
        <f>R89/dose!$R$14</f>
        <v>3.5795114856651635E-3</v>
      </c>
    </row>
    <row r="90" spans="1:33" x14ac:dyDescent="0.2">
      <c r="A90" s="69"/>
      <c r="B90" s="70"/>
      <c r="C90" s="70"/>
      <c r="D90" s="70"/>
      <c r="E90" s="69"/>
      <c r="F90" s="69"/>
      <c r="G90" s="57"/>
      <c r="H90" s="71"/>
      <c r="I90" s="71"/>
      <c r="J90" s="71"/>
      <c r="K90" s="71"/>
      <c r="L90" s="71"/>
      <c r="M90" s="143"/>
      <c r="N90" s="60"/>
      <c r="O90" s="29"/>
      <c r="P90" s="79"/>
    </row>
    <row r="91" spans="1:33" ht="51" x14ac:dyDescent="0.2">
      <c r="A91" s="2" t="s">
        <v>46</v>
      </c>
      <c r="B91" s="167" t="s">
        <v>20</v>
      </c>
      <c r="C91" s="167"/>
      <c r="D91" s="55" t="s">
        <v>0</v>
      </c>
      <c r="E91" s="55" t="s">
        <v>2</v>
      </c>
      <c r="F91" s="55" t="s">
        <v>1</v>
      </c>
      <c r="G91" s="50" t="s">
        <v>21</v>
      </c>
      <c r="H91" s="166" t="s">
        <v>22</v>
      </c>
      <c r="I91" s="166"/>
      <c r="J91" s="56" t="s">
        <v>0</v>
      </c>
      <c r="K91" s="56" t="s">
        <v>2</v>
      </c>
      <c r="L91" s="55" t="s">
        <v>37</v>
      </c>
      <c r="M91" s="12" t="s">
        <v>69</v>
      </c>
      <c r="N91" s="51" t="s">
        <v>23</v>
      </c>
      <c r="P91" s="79"/>
    </row>
    <row r="92" spans="1:33" x14ac:dyDescent="0.2">
      <c r="A92" s="8" t="s">
        <v>8</v>
      </c>
      <c r="B92" s="59">
        <v>56</v>
      </c>
      <c r="C92" s="59">
        <v>54</v>
      </c>
      <c r="D92">
        <f>AVERAGE(B92:C92)</f>
        <v>55</v>
      </c>
      <c r="E92" s="4">
        <v>1000</v>
      </c>
      <c r="F92" s="4">
        <f>1895.6-1838.6</f>
        <v>57</v>
      </c>
      <c r="G92" s="49">
        <f>LOG10(D92*100*E92/F92*1000)</f>
        <v>7.9844878338217526</v>
      </c>
      <c r="H92" s="53">
        <v>0</v>
      </c>
      <c r="I92" s="53">
        <v>0</v>
      </c>
      <c r="J92" s="53">
        <f>AVERAGE(H92:I92)</f>
        <v>0</v>
      </c>
      <c r="K92" s="53">
        <v>1</v>
      </c>
      <c r="L92" s="53">
        <v>0</v>
      </c>
      <c r="M92" s="143" t="e">
        <f t="shared" si="58"/>
        <v>#NUM!</v>
      </c>
      <c r="N92" s="58">
        <f t="shared" ref="N92:N94" si="77">(J92*K92)/(D92*E92)</f>
        <v>0</v>
      </c>
      <c r="P92" s="79">
        <f>dose!P$14</f>
        <v>9.5238095238095231E-6</v>
      </c>
      <c r="Q92" s="141">
        <f t="shared" si="54"/>
        <v>9.0909090909090904E-7</v>
      </c>
    </row>
    <row r="93" spans="1:33" x14ac:dyDescent="0.2">
      <c r="A93" s="8" t="s">
        <v>9</v>
      </c>
      <c r="B93" s="59">
        <v>24</v>
      </c>
      <c r="C93" s="59">
        <v>17</v>
      </c>
      <c r="D93" s="9">
        <f t="shared" ref="D93:D94" si="78">AVERAGE(B93:C93)</f>
        <v>20.5</v>
      </c>
      <c r="E93" s="8">
        <v>10000</v>
      </c>
      <c r="F93" s="8">
        <f>1876.3-1818.2</f>
        <v>58.099999999999909</v>
      </c>
      <c r="G93" s="49">
        <f>LOG10(D93*100*E93/F93*1000)</f>
        <v>8.5475777286654235</v>
      </c>
      <c r="H93" s="54"/>
      <c r="I93" s="54"/>
      <c r="J93" s="54" t="e">
        <f t="shared" ref="J93:J94" si="79">AVERAGE(H93:I93)</f>
        <v>#DIV/0!</v>
      </c>
      <c r="K93" s="54"/>
      <c r="L93" s="54">
        <v>0</v>
      </c>
      <c r="M93" s="143" t="e">
        <f t="shared" si="58"/>
        <v>#NUM!</v>
      </c>
      <c r="N93" s="58" t="e">
        <f t="shared" si="77"/>
        <v>#DIV/0!</v>
      </c>
      <c r="P93" s="79">
        <f>dose!P$14</f>
        <v>9.5238095238095231E-6</v>
      </c>
      <c r="Q93" s="141">
        <f t="shared" si="54"/>
        <v>2.4390243902439022E-7</v>
      </c>
    </row>
    <row r="94" spans="1:33" x14ac:dyDescent="0.2">
      <c r="A94" s="8" t="s">
        <v>31</v>
      </c>
      <c r="B94" s="59">
        <v>200</v>
      </c>
      <c r="C94" s="9"/>
      <c r="D94" s="9">
        <f t="shared" si="78"/>
        <v>200</v>
      </c>
      <c r="E94" s="8">
        <v>10000000</v>
      </c>
      <c r="F94" s="8">
        <f>3151.4-1697.5</f>
        <v>1453.9</v>
      </c>
      <c r="G94" s="49">
        <f t="shared" ref="G94" si="80">LOG10(D94*100*E94/F94*1000)</f>
        <v>11.138495459114626</v>
      </c>
      <c r="H94" s="54">
        <v>6</v>
      </c>
      <c r="I94" s="54">
        <v>1</v>
      </c>
      <c r="J94" s="54">
        <f t="shared" si="79"/>
        <v>3.5</v>
      </c>
      <c r="K94" s="54">
        <v>1</v>
      </c>
      <c r="L94" s="54">
        <v>50</v>
      </c>
      <c r="M94" s="143">
        <f t="shared" si="58"/>
        <v>2.2354054721226815</v>
      </c>
      <c r="N94" s="83">
        <f t="shared" si="77"/>
        <v>1.75E-9</v>
      </c>
      <c r="O94" s="5">
        <f>LOG10(N94/P94)</f>
        <v>-3.7357726522437673</v>
      </c>
      <c r="P94" s="79">
        <f>dose!P$14</f>
        <v>9.5238095238095231E-6</v>
      </c>
      <c r="Q94" s="141">
        <f t="shared" si="54"/>
        <v>2.5000000000000001E-11</v>
      </c>
      <c r="R94" s="147">
        <f t="shared" si="59"/>
        <v>1.2500000015624999E-9</v>
      </c>
      <c r="S94" s="151">
        <f>R94/dose!$R$14</f>
        <v>1.3124875016406093E-4</v>
      </c>
    </row>
    <row r="95" spans="1:33" x14ac:dyDescent="0.2">
      <c r="A95" s="8"/>
      <c r="B95" s="9"/>
      <c r="C95" s="9"/>
      <c r="D95" s="9"/>
      <c r="E95" s="8"/>
      <c r="F95" s="8"/>
      <c r="G95" s="13"/>
      <c r="H95" s="53"/>
      <c r="I95" s="53"/>
      <c r="J95" s="53"/>
      <c r="K95" s="53"/>
      <c r="L95" s="53"/>
      <c r="M95" s="143"/>
      <c r="N95" s="60"/>
      <c r="P95" s="79"/>
    </row>
    <row r="96" spans="1:33" ht="51" x14ac:dyDescent="0.2">
      <c r="A96" s="2" t="s">
        <v>47</v>
      </c>
      <c r="B96" s="167" t="s">
        <v>20</v>
      </c>
      <c r="C96" s="167"/>
      <c r="D96" s="55" t="s">
        <v>0</v>
      </c>
      <c r="E96" s="55" t="s">
        <v>2</v>
      </c>
      <c r="F96" s="55" t="s">
        <v>1</v>
      </c>
      <c r="G96" s="50" t="s">
        <v>21</v>
      </c>
      <c r="H96" s="166" t="s">
        <v>22</v>
      </c>
      <c r="I96" s="166"/>
      <c r="J96" s="56" t="s">
        <v>0</v>
      </c>
      <c r="K96" s="56" t="s">
        <v>2</v>
      </c>
      <c r="L96" s="55" t="s">
        <v>37</v>
      </c>
      <c r="M96" s="12" t="s">
        <v>69</v>
      </c>
      <c r="N96" s="51" t="s">
        <v>23</v>
      </c>
      <c r="P96" s="79"/>
    </row>
    <row r="97" spans="1:19" x14ac:dyDescent="0.2">
      <c r="A97" s="8" t="s">
        <v>8</v>
      </c>
      <c r="B97" s="59">
        <v>5</v>
      </c>
      <c r="C97" s="59">
        <v>2</v>
      </c>
      <c r="D97">
        <f>AVERAGE(B97:C97)</f>
        <v>3.5</v>
      </c>
      <c r="E97" s="4">
        <v>100</v>
      </c>
      <c r="F97" s="4">
        <f>1900.5-1879.7</f>
        <v>20.799999999999955</v>
      </c>
      <c r="G97" s="49">
        <f>LOG10(D97*100*E97/F97*1000)</f>
        <v>6.2260047093875146</v>
      </c>
      <c r="H97" s="53">
        <v>0</v>
      </c>
      <c r="I97" s="53">
        <v>0</v>
      </c>
      <c r="J97" s="53">
        <f>AVERAGE(H97:I97)</f>
        <v>0</v>
      </c>
      <c r="K97" s="53">
        <v>1</v>
      </c>
      <c r="L97" s="53">
        <v>0</v>
      </c>
      <c r="M97" s="143" t="e">
        <f t="shared" si="58"/>
        <v>#NUM!</v>
      </c>
      <c r="N97" s="58">
        <f t="shared" ref="N97:N99" si="81">(J97*K97)/(D97*E97)</f>
        <v>0</v>
      </c>
      <c r="P97" s="79" t="s">
        <v>25</v>
      </c>
      <c r="Q97" s="141">
        <f t="shared" si="54"/>
        <v>1.4285714285714287E-4</v>
      </c>
    </row>
    <row r="98" spans="1:19" x14ac:dyDescent="0.2">
      <c r="A98" s="8" t="s">
        <v>9</v>
      </c>
      <c r="B98" s="59">
        <v>8</v>
      </c>
      <c r="C98" s="59">
        <v>13</v>
      </c>
      <c r="D98" s="9">
        <f t="shared" ref="D98:D99" si="82">AVERAGE(B98:C98)</f>
        <v>10.5</v>
      </c>
      <c r="E98" s="8">
        <v>1000</v>
      </c>
      <c r="F98" s="8">
        <f>1994.8-1924.3</f>
        <v>70.5</v>
      </c>
      <c r="G98" s="49">
        <f>LOG10(D98*100*E98/F98*1000)</f>
        <v>7.173000182078539</v>
      </c>
      <c r="H98" s="54"/>
      <c r="I98" s="54"/>
      <c r="J98" s="54" t="e">
        <f t="shared" ref="J98:J99" si="83">AVERAGE(H98:I98)</f>
        <v>#DIV/0!</v>
      </c>
      <c r="K98" s="54"/>
      <c r="L98" s="54">
        <v>0</v>
      </c>
      <c r="M98" s="143" t="e">
        <f t="shared" si="58"/>
        <v>#NUM!</v>
      </c>
      <c r="N98" s="58" t="e">
        <f t="shared" si="81"/>
        <v>#DIV/0!</v>
      </c>
      <c r="P98" s="79">
        <f>dose!P$14</f>
        <v>9.5238095238095231E-6</v>
      </c>
      <c r="Q98" s="141">
        <f t="shared" si="54"/>
        <v>4.7619047619047615E-6</v>
      </c>
    </row>
    <row r="99" spans="1:19" x14ac:dyDescent="0.2">
      <c r="A99" s="8" t="s">
        <v>31</v>
      </c>
      <c r="B99" s="59">
        <v>40</v>
      </c>
      <c r="C99" s="59">
        <v>33</v>
      </c>
      <c r="D99" s="9">
        <f t="shared" si="82"/>
        <v>36.5</v>
      </c>
      <c r="E99" s="8">
        <v>100000</v>
      </c>
      <c r="F99" s="8">
        <f>3133.9-1717.3</f>
        <v>1416.6000000000001</v>
      </c>
      <c r="G99" s="49">
        <f t="shared" ref="G99" si="84">LOG10(D99*100*E99/F99*1000)</f>
        <v>8.4110456269941043</v>
      </c>
      <c r="H99" s="54">
        <v>0</v>
      </c>
      <c r="I99" s="54">
        <v>0</v>
      </c>
      <c r="J99" s="54">
        <f t="shared" si="83"/>
        <v>0</v>
      </c>
      <c r="K99" s="54">
        <v>1</v>
      </c>
      <c r="L99" s="54">
        <v>0</v>
      </c>
      <c r="M99" s="143" t="e">
        <f t="shared" si="58"/>
        <v>#NUM!</v>
      </c>
      <c r="N99" s="58">
        <f t="shared" si="81"/>
        <v>0</v>
      </c>
      <c r="O99" s="142">
        <f>LOG10(Q99/P99)</f>
        <v>-2.8421335610505176</v>
      </c>
      <c r="P99" s="79">
        <f>dose!P$14</f>
        <v>9.5238095238095231E-6</v>
      </c>
      <c r="Q99" s="141">
        <f t="shared" si="54"/>
        <v>1.3698630136986301E-8</v>
      </c>
      <c r="R99" s="147">
        <f t="shared" si="59"/>
        <v>0</v>
      </c>
      <c r="S99" s="151">
        <f>R99/dose!$R$14</f>
        <v>0</v>
      </c>
    </row>
    <row r="100" spans="1:19" x14ac:dyDescent="0.2">
      <c r="A100" s="8"/>
      <c r="B100" s="9"/>
      <c r="C100" s="9"/>
      <c r="D100" s="9"/>
      <c r="E100" s="8"/>
      <c r="F100" s="8"/>
      <c r="G100" s="13"/>
      <c r="H100" s="14"/>
    </row>
    <row r="101" spans="1:19" x14ac:dyDescent="0.2">
      <c r="A101" s="18"/>
      <c r="B101" s="10"/>
      <c r="C101" s="10"/>
      <c r="D101" s="9"/>
      <c r="E101" s="18"/>
      <c r="F101" s="18"/>
      <c r="G101" s="13"/>
      <c r="H101" s="14"/>
    </row>
    <row r="102" spans="1:19" x14ac:dyDescent="0.2">
      <c r="A102" s="8"/>
      <c r="B102" s="22"/>
      <c r="C102" s="22"/>
      <c r="D102" s="9"/>
      <c r="E102" s="4"/>
      <c r="F102" s="4"/>
      <c r="G102" s="14"/>
      <c r="H102" s="14"/>
    </row>
    <row r="103" spans="1:19" x14ac:dyDescent="0.2">
      <c r="A103" s="2"/>
      <c r="B103" s="11"/>
      <c r="C103" s="11"/>
      <c r="D103" s="40"/>
      <c r="E103" s="40"/>
      <c r="F103" s="40"/>
      <c r="G103" s="12"/>
      <c r="H103" s="14"/>
    </row>
    <row r="104" spans="1:19" x14ac:dyDescent="0.2">
      <c r="A104" s="8"/>
      <c r="E104" s="4"/>
      <c r="F104" s="4"/>
      <c r="G104" s="13"/>
      <c r="H104" s="14"/>
    </row>
    <row r="105" spans="1:19" x14ac:dyDescent="0.2">
      <c r="A105" s="8"/>
      <c r="B105" s="9"/>
      <c r="C105" s="9"/>
      <c r="D105" s="9"/>
      <c r="E105" s="8"/>
      <c r="F105" s="8"/>
      <c r="G105" s="13"/>
      <c r="H105" s="14"/>
    </row>
    <row r="106" spans="1:19" x14ac:dyDescent="0.2">
      <c r="A106" s="8"/>
      <c r="B106" s="9"/>
      <c r="C106" s="9"/>
      <c r="D106" s="9"/>
      <c r="E106" s="8"/>
      <c r="F106" s="8"/>
      <c r="G106" s="13"/>
      <c r="H106" s="14"/>
    </row>
    <row r="107" spans="1:19" x14ac:dyDescent="0.2">
      <c r="A107" s="8"/>
      <c r="B107" s="9"/>
      <c r="C107" s="9"/>
      <c r="D107" s="9"/>
      <c r="E107" s="8"/>
      <c r="F107" s="8"/>
      <c r="G107" s="13"/>
      <c r="H107" s="14"/>
    </row>
    <row r="108" spans="1:19" x14ac:dyDescent="0.2">
      <c r="A108" s="18"/>
      <c r="B108" s="10"/>
      <c r="C108" s="10"/>
      <c r="D108" s="9"/>
      <c r="E108" s="18"/>
      <c r="F108" s="18"/>
      <c r="G108" s="13"/>
      <c r="H108" s="14"/>
    </row>
    <row r="109" spans="1:19" x14ac:dyDescent="0.2">
      <c r="A109" s="8"/>
      <c r="B109" s="9"/>
      <c r="C109" s="9"/>
      <c r="D109" s="9"/>
      <c r="E109" s="8"/>
      <c r="F109" s="8"/>
      <c r="G109" s="13"/>
      <c r="H109" s="14"/>
    </row>
    <row r="110" spans="1:19" x14ac:dyDescent="0.2">
      <c r="A110" s="2"/>
      <c r="B110" s="11"/>
      <c r="C110" s="11"/>
      <c r="D110" s="40"/>
      <c r="E110" s="40"/>
      <c r="F110" s="40"/>
      <c r="G110" s="12"/>
      <c r="H110" s="14"/>
    </row>
    <row r="111" spans="1:19" x14ac:dyDescent="0.2">
      <c r="A111" s="8"/>
      <c r="E111" s="4"/>
      <c r="F111" s="4"/>
      <c r="G111" s="13"/>
      <c r="H111" s="14"/>
    </row>
    <row r="112" spans="1:19" x14ac:dyDescent="0.2">
      <c r="A112" s="8"/>
      <c r="B112" s="9"/>
      <c r="C112" s="9"/>
      <c r="D112" s="9"/>
      <c r="E112" s="8"/>
      <c r="F112" s="8"/>
      <c r="G112" s="13"/>
      <c r="H112" s="14"/>
    </row>
    <row r="113" spans="1:8" x14ac:dyDescent="0.2">
      <c r="A113" s="8"/>
      <c r="B113" s="9"/>
      <c r="C113" s="9"/>
      <c r="D113" s="9"/>
      <c r="E113" s="8"/>
      <c r="F113" s="8"/>
      <c r="G113" s="13"/>
      <c r="H113" s="14"/>
    </row>
    <row r="114" spans="1:8" x14ac:dyDescent="0.2">
      <c r="A114" s="8"/>
      <c r="B114" s="9"/>
      <c r="C114" s="9"/>
      <c r="D114" s="9"/>
      <c r="E114" s="8"/>
      <c r="F114" s="8"/>
      <c r="G114" s="13"/>
      <c r="H114" s="14"/>
    </row>
    <row r="115" spans="1:8" x14ac:dyDescent="0.2">
      <c r="A115" s="18"/>
      <c r="B115" s="10"/>
      <c r="C115" s="10"/>
      <c r="D115" s="9"/>
      <c r="E115" s="18"/>
      <c r="F115" s="18"/>
      <c r="G115" s="13"/>
      <c r="H115" s="14"/>
    </row>
    <row r="116" spans="1:8" x14ac:dyDescent="0.2">
      <c r="A116" s="8"/>
      <c r="B116" s="9"/>
      <c r="C116" s="9"/>
      <c r="D116" s="9"/>
      <c r="E116" s="8"/>
      <c r="F116" s="4"/>
      <c r="G116" s="13"/>
      <c r="H116" s="14"/>
    </row>
    <row r="117" spans="1:8" x14ac:dyDescent="0.2">
      <c r="A117" s="2"/>
      <c r="B117" s="11"/>
      <c r="C117" s="11"/>
      <c r="D117" s="40"/>
      <c r="E117" s="40"/>
      <c r="F117" s="40"/>
      <c r="G117" s="12"/>
      <c r="H117" s="14"/>
    </row>
    <row r="118" spans="1:8" x14ac:dyDescent="0.2">
      <c r="A118" s="8"/>
      <c r="E118" s="4"/>
      <c r="F118" s="4"/>
      <c r="G118" s="13"/>
      <c r="H118" s="14"/>
    </row>
    <row r="119" spans="1:8" x14ac:dyDescent="0.2">
      <c r="A119" s="8"/>
      <c r="B119" s="9"/>
      <c r="C119" s="9"/>
      <c r="D119" s="9"/>
      <c r="E119" s="8"/>
      <c r="F119" s="8"/>
      <c r="G119" s="13"/>
      <c r="H119" s="14"/>
    </row>
    <row r="120" spans="1:8" ht="18" customHeight="1" x14ac:dyDescent="0.2">
      <c r="A120" s="8"/>
      <c r="B120" s="9"/>
      <c r="C120" s="9"/>
      <c r="D120" s="9"/>
      <c r="E120" s="8"/>
      <c r="F120" s="8"/>
      <c r="G120" s="13"/>
      <c r="H120" s="12"/>
    </row>
    <row r="121" spans="1:8" x14ac:dyDescent="0.2">
      <c r="A121" s="8"/>
      <c r="B121" s="9"/>
      <c r="C121" s="9"/>
      <c r="D121" s="9"/>
      <c r="E121" s="8"/>
      <c r="F121" s="8"/>
      <c r="G121" s="13"/>
      <c r="H121" s="14"/>
    </row>
    <row r="122" spans="1:8" x14ac:dyDescent="0.2">
      <c r="A122" s="18"/>
      <c r="B122" s="10"/>
      <c r="C122" s="10"/>
      <c r="D122" s="9"/>
      <c r="E122" s="18"/>
      <c r="F122" s="18"/>
      <c r="G122" s="13"/>
      <c r="H122" s="14"/>
    </row>
    <row r="123" spans="1:8" x14ac:dyDescent="0.2">
      <c r="A123" s="8"/>
      <c r="B123" s="9"/>
      <c r="C123" s="9"/>
      <c r="D123" s="9"/>
      <c r="E123" s="8"/>
      <c r="F123" s="8"/>
      <c r="G123" s="13"/>
      <c r="H123" s="14"/>
    </row>
    <row r="124" spans="1:8" x14ac:dyDescent="0.2">
      <c r="A124" s="2"/>
      <c r="B124" s="11"/>
      <c r="C124" s="11"/>
      <c r="D124" s="40"/>
      <c r="E124" s="40"/>
      <c r="F124" s="40"/>
      <c r="G124" s="12"/>
      <c r="H124" s="14"/>
    </row>
    <row r="125" spans="1:8" x14ac:dyDescent="0.2">
      <c r="A125" s="8"/>
      <c r="E125" s="4"/>
      <c r="F125" s="4"/>
      <c r="G125" s="13"/>
      <c r="H125" s="14"/>
    </row>
    <row r="126" spans="1:8" x14ac:dyDescent="0.2">
      <c r="A126" s="8"/>
      <c r="B126" s="9"/>
      <c r="C126" s="9"/>
      <c r="D126" s="9"/>
      <c r="E126" s="8"/>
      <c r="F126" s="8"/>
      <c r="G126" s="13"/>
      <c r="H126" s="14"/>
    </row>
    <row r="127" spans="1:8" x14ac:dyDescent="0.2">
      <c r="A127" s="8"/>
      <c r="B127" s="9"/>
      <c r="C127" s="9"/>
      <c r="D127" s="9"/>
      <c r="E127" s="8"/>
      <c r="F127" s="8"/>
      <c r="G127" s="13"/>
      <c r="H127" s="14"/>
    </row>
    <row r="128" spans="1:8" x14ac:dyDescent="0.2">
      <c r="A128" s="8"/>
      <c r="B128" s="9"/>
      <c r="C128" s="9"/>
      <c r="D128" s="9"/>
      <c r="E128" s="8"/>
      <c r="F128" s="8"/>
      <c r="G128" s="13"/>
      <c r="H128" s="14"/>
    </row>
    <row r="129" spans="1:8" x14ac:dyDescent="0.2">
      <c r="A129" s="18"/>
      <c r="B129" s="10"/>
      <c r="C129" s="10"/>
      <c r="D129" s="9"/>
      <c r="E129" s="18"/>
      <c r="F129" s="18"/>
      <c r="G129" s="13"/>
      <c r="H129" s="14"/>
    </row>
    <row r="130" spans="1:8" x14ac:dyDescent="0.2">
      <c r="A130" s="21"/>
      <c r="B130" s="22"/>
      <c r="C130" s="22"/>
      <c r="D130" s="9"/>
      <c r="E130" s="21"/>
      <c r="F130" s="21"/>
      <c r="G130" s="13"/>
      <c r="H130" s="14"/>
    </row>
    <row r="131" spans="1:8" x14ac:dyDescent="0.2">
      <c r="A131" s="2"/>
      <c r="B131" s="11"/>
      <c r="C131" s="11"/>
      <c r="D131" s="40"/>
      <c r="E131" s="40"/>
      <c r="F131" s="40"/>
      <c r="G131" s="12"/>
      <c r="H131" s="14"/>
    </row>
    <row r="132" spans="1:8" x14ac:dyDescent="0.2">
      <c r="A132" s="8"/>
      <c r="E132" s="4"/>
      <c r="F132" s="4"/>
      <c r="G132" s="13"/>
      <c r="H132" s="14"/>
    </row>
    <row r="133" spans="1:8" x14ac:dyDescent="0.2">
      <c r="A133" s="8"/>
      <c r="B133" s="9"/>
      <c r="C133" s="9"/>
      <c r="D133" s="9"/>
      <c r="E133" s="8"/>
      <c r="F133" s="8"/>
      <c r="G133" s="13"/>
      <c r="H133" s="14"/>
    </row>
    <row r="134" spans="1:8" x14ac:dyDescent="0.2">
      <c r="A134" s="8"/>
      <c r="B134" s="9"/>
      <c r="C134" s="9"/>
      <c r="D134" s="9"/>
      <c r="E134" s="8"/>
      <c r="F134" s="8"/>
      <c r="G134" s="13"/>
      <c r="H134" s="14"/>
    </row>
    <row r="135" spans="1:8" x14ac:dyDescent="0.2">
      <c r="A135" s="8"/>
      <c r="B135" s="9"/>
      <c r="C135" s="9"/>
      <c r="D135" s="9"/>
      <c r="E135" s="8"/>
      <c r="F135" s="8"/>
      <c r="G135" s="13"/>
      <c r="H135" s="14"/>
    </row>
    <row r="136" spans="1:8" x14ac:dyDescent="0.2">
      <c r="A136" s="18"/>
      <c r="B136" s="10"/>
      <c r="C136" s="10"/>
      <c r="D136" s="9"/>
      <c r="E136" s="18"/>
      <c r="F136" s="18"/>
      <c r="G136" s="13"/>
      <c r="H136" s="14"/>
    </row>
    <row r="137" spans="1:8" x14ac:dyDescent="0.2">
      <c r="A137" s="8"/>
      <c r="B137" s="9"/>
      <c r="C137" s="9"/>
      <c r="D137" s="9"/>
      <c r="E137" s="8"/>
      <c r="F137" s="8"/>
      <c r="G137" s="13"/>
      <c r="H137" s="14"/>
    </row>
    <row r="138" spans="1:8" x14ac:dyDescent="0.2">
      <c r="A138" s="2"/>
      <c r="B138" s="11"/>
      <c r="C138" s="11"/>
      <c r="D138" s="40"/>
      <c r="E138" s="40"/>
      <c r="F138" s="40"/>
      <c r="G138" s="12"/>
      <c r="H138" s="14"/>
    </row>
    <row r="139" spans="1:8" x14ac:dyDescent="0.2">
      <c r="A139" s="8"/>
      <c r="E139" s="4"/>
      <c r="F139" s="4"/>
      <c r="G139" s="13"/>
      <c r="H139" s="14"/>
    </row>
    <row r="140" spans="1:8" x14ac:dyDescent="0.2">
      <c r="A140" s="8"/>
      <c r="B140" s="9"/>
      <c r="C140" s="9"/>
      <c r="D140" s="9"/>
      <c r="E140" s="8"/>
      <c r="F140" s="8"/>
      <c r="G140" s="13"/>
      <c r="H140" s="14"/>
    </row>
    <row r="141" spans="1:8" x14ac:dyDescent="0.2">
      <c r="A141" s="8"/>
      <c r="B141" s="9"/>
      <c r="C141" s="9"/>
      <c r="D141" s="9"/>
      <c r="E141" s="8"/>
      <c r="F141" s="8"/>
      <c r="G141" s="13"/>
      <c r="H141" s="14"/>
    </row>
    <row r="142" spans="1:8" x14ac:dyDescent="0.2">
      <c r="A142" s="8"/>
      <c r="B142" s="9"/>
      <c r="C142" s="9"/>
      <c r="D142" s="9"/>
      <c r="E142" s="8"/>
      <c r="F142" s="8"/>
      <c r="G142" s="13"/>
      <c r="H142" s="14"/>
    </row>
    <row r="143" spans="1:8" x14ac:dyDescent="0.2">
      <c r="A143" s="18"/>
      <c r="B143" s="10"/>
      <c r="C143" s="10"/>
      <c r="D143" s="9"/>
      <c r="E143" s="18"/>
      <c r="F143" s="18"/>
      <c r="G143" s="13"/>
      <c r="H143" s="14"/>
    </row>
    <row r="144" spans="1:8" x14ac:dyDescent="0.2">
      <c r="A144" s="8"/>
      <c r="B144" s="9"/>
      <c r="C144" s="9"/>
      <c r="D144" s="9"/>
      <c r="E144" s="8"/>
      <c r="F144" s="4"/>
      <c r="G144" s="13"/>
      <c r="H144" s="14"/>
    </row>
    <row r="145" spans="1:8" x14ac:dyDescent="0.2">
      <c r="A145" s="2"/>
      <c r="B145" s="11"/>
      <c r="C145" s="11"/>
      <c r="D145" s="40"/>
      <c r="E145" s="40"/>
      <c r="F145" s="40"/>
      <c r="G145" s="12"/>
      <c r="H145" s="14"/>
    </row>
    <row r="146" spans="1:8" x14ac:dyDescent="0.2">
      <c r="A146" s="8"/>
      <c r="E146" s="4"/>
      <c r="F146" s="4"/>
      <c r="G146" s="13"/>
      <c r="H146" s="14"/>
    </row>
    <row r="147" spans="1:8" x14ac:dyDescent="0.2">
      <c r="A147" s="8"/>
      <c r="B147" s="9"/>
      <c r="C147" s="9"/>
      <c r="D147" s="9"/>
      <c r="E147" s="8"/>
      <c r="F147" s="8"/>
      <c r="G147" s="13"/>
      <c r="H147" s="14"/>
    </row>
    <row r="148" spans="1:8" x14ac:dyDescent="0.2">
      <c r="A148" s="8"/>
      <c r="B148" s="9"/>
      <c r="C148" s="9"/>
      <c r="D148" s="9"/>
      <c r="E148" s="8"/>
      <c r="F148" s="8"/>
      <c r="G148" s="13"/>
      <c r="H148" s="14"/>
    </row>
    <row r="149" spans="1:8" x14ac:dyDescent="0.2">
      <c r="A149" s="8"/>
      <c r="B149" s="9"/>
      <c r="C149" s="9"/>
      <c r="D149" s="9"/>
      <c r="E149" s="8"/>
      <c r="F149" s="8"/>
      <c r="G149" s="13"/>
      <c r="H149" s="14"/>
    </row>
    <row r="150" spans="1:8" x14ac:dyDescent="0.2">
      <c r="A150" s="18"/>
      <c r="B150" s="10"/>
      <c r="C150" s="10"/>
      <c r="D150" s="9"/>
      <c r="E150" s="18"/>
      <c r="F150" s="18"/>
      <c r="G150" s="13"/>
      <c r="H150" s="14"/>
    </row>
    <row r="151" spans="1:8" x14ac:dyDescent="0.2">
      <c r="A151" s="8"/>
      <c r="B151" s="9"/>
      <c r="C151" s="9"/>
      <c r="D151" s="9"/>
      <c r="E151" s="8"/>
      <c r="F151" s="8"/>
      <c r="G151" s="13"/>
      <c r="H151" s="14"/>
    </row>
    <row r="152" spans="1:8" x14ac:dyDescent="0.2">
      <c r="A152" s="2"/>
      <c r="B152" s="11"/>
      <c r="C152" s="11"/>
      <c r="D152" s="40"/>
      <c r="E152" s="40"/>
      <c r="F152" s="40"/>
      <c r="G152" s="12"/>
      <c r="H152" s="14"/>
    </row>
    <row r="153" spans="1:8" x14ac:dyDescent="0.2">
      <c r="A153" s="8"/>
      <c r="E153" s="4"/>
      <c r="F153" s="4"/>
      <c r="G153" s="13"/>
      <c r="H153" s="12"/>
    </row>
    <row r="154" spans="1:8" x14ac:dyDescent="0.2">
      <c r="A154" s="8"/>
      <c r="B154" s="9"/>
      <c r="C154" s="9"/>
      <c r="D154" s="9"/>
      <c r="E154" s="8"/>
      <c r="F154" s="8"/>
      <c r="G154" s="13"/>
      <c r="H154" s="14"/>
    </row>
    <row r="155" spans="1:8" x14ac:dyDescent="0.2">
      <c r="A155" s="8"/>
      <c r="B155" s="9"/>
      <c r="C155" s="9"/>
      <c r="D155" s="9"/>
      <c r="E155" s="8"/>
      <c r="F155" s="8"/>
      <c r="G155" s="13"/>
      <c r="H155" s="14"/>
    </row>
    <row r="156" spans="1:8" x14ac:dyDescent="0.2">
      <c r="A156" s="8"/>
      <c r="B156" s="9"/>
      <c r="C156" s="9"/>
      <c r="D156" s="9"/>
      <c r="E156" s="8"/>
      <c r="F156" s="8"/>
      <c r="G156" s="13"/>
      <c r="H156" s="14"/>
    </row>
    <row r="157" spans="1:8" x14ac:dyDescent="0.2">
      <c r="A157" s="18"/>
      <c r="B157" s="10"/>
      <c r="C157" s="10"/>
      <c r="D157" s="9"/>
      <c r="E157" s="18"/>
      <c r="F157" s="18"/>
      <c r="G157" s="13"/>
      <c r="H157" s="14"/>
    </row>
    <row r="158" spans="1:8" x14ac:dyDescent="0.2">
      <c r="A158" s="8"/>
      <c r="B158" s="9"/>
      <c r="C158" s="9"/>
      <c r="D158" s="9"/>
      <c r="E158" s="8"/>
      <c r="F158" s="8"/>
      <c r="G158" s="13"/>
      <c r="H158" s="14"/>
    </row>
    <row r="159" spans="1:8" x14ac:dyDescent="0.2">
      <c r="A159" s="2"/>
      <c r="B159" s="40"/>
      <c r="C159" s="40"/>
      <c r="D159" s="40"/>
      <c r="E159" s="40"/>
      <c r="F159" s="40"/>
      <c r="G159" s="12"/>
      <c r="H159" s="14"/>
    </row>
    <row r="160" spans="1:8" x14ac:dyDescent="0.2">
      <c r="A160" s="8"/>
      <c r="E160" s="4"/>
      <c r="F160" s="4"/>
      <c r="G160" s="13"/>
      <c r="H160" s="14"/>
    </row>
    <row r="161" spans="1:8" x14ac:dyDescent="0.2">
      <c r="A161" s="8"/>
      <c r="B161" s="9"/>
      <c r="C161" s="9"/>
      <c r="D161" s="9"/>
      <c r="E161" s="8"/>
      <c r="F161" s="8"/>
      <c r="G161" s="13"/>
      <c r="H161" s="14"/>
    </row>
    <row r="162" spans="1:8" x14ac:dyDescent="0.2">
      <c r="A162" s="8"/>
      <c r="B162" s="9"/>
      <c r="C162" s="9"/>
      <c r="D162" s="9"/>
      <c r="E162" s="8"/>
      <c r="F162" s="8"/>
      <c r="G162" s="13"/>
      <c r="H162" s="14"/>
    </row>
    <row r="163" spans="1:8" x14ac:dyDescent="0.2">
      <c r="A163" s="8"/>
      <c r="B163" s="9"/>
      <c r="C163" s="9"/>
      <c r="D163" s="9"/>
      <c r="E163" s="8"/>
      <c r="F163" s="8"/>
      <c r="G163" s="13"/>
      <c r="H163" s="14"/>
    </row>
    <row r="164" spans="1:8" x14ac:dyDescent="0.2">
      <c r="A164" s="18"/>
      <c r="B164" s="10"/>
      <c r="C164" s="10"/>
      <c r="D164" s="9"/>
      <c r="E164" s="18"/>
      <c r="F164" s="18"/>
      <c r="G164" s="13"/>
      <c r="H164" s="14"/>
    </row>
    <row r="165" spans="1:8" x14ac:dyDescent="0.2">
      <c r="A165" s="8"/>
      <c r="B165" s="22"/>
      <c r="C165" s="9"/>
      <c r="D165" s="9"/>
      <c r="E165" s="8"/>
      <c r="F165" s="4"/>
      <c r="G165" s="13"/>
      <c r="H165" s="14"/>
    </row>
    <row r="166" spans="1:8" x14ac:dyDescent="0.2">
      <c r="A166" s="18"/>
      <c r="B166" s="11"/>
      <c r="C166" s="11"/>
      <c r="D166" s="40"/>
      <c r="E166" s="40"/>
      <c r="F166" s="40"/>
      <c r="G166" s="13"/>
      <c r="H166" s="14"/>
    </row>
    <row r="167" spans="1:8" x14ac:dyDescent="0.2">
      <c r="A167" s="2"/>
      <c r="B167" s="11"/>
      <c r="C167" s="11"/>
      <c r="D167" s="40"/>
      <c r="E167" s="40"/>
      <c r="F167" s="40"/>
      <c r="G167" s="12"/>
      <c r="H167" s="14"/>
    </row>
    <row r="168" spans="1:8" x14ac:dyDescent="0.2">
      <c r="A168" s="8"/>
      <c r="E168" s="4"/>
      <c r="F168" s="4"/>
      <c r="G168" s="13"/>
      <c r="H168" s="14"/>
    </row>
    <row r="169" spans="1:8" x14ac:dyDescent="0.2">
      <c r="A169" s="8"/>
      <c r="B169" s="9"/>
      <c r="C169" s="9"/>
      <c r="D169" s="9"/>
      <c r="E169" s="8"/>
      <c r="F169" s="8"/>
      <c r="G169" s="13"/>
      <c r="H169" s="14"/>
    </row>
    <row r="170" spans="1:8" x14ac:dyDescent="0.2">
      <c r="A170" s="8"/>
      <c r="B170" s="9"/>
      <c r="C170" s="9"/>
      <c r="D170" s="9"/>
      <c r="E170" s="8"/>
      <c r="F170" s="8"/>
      <c r="G170" s="13"/>
      <c r="H170" s="14"/>
    </row>
    <row r="171" spans="1:8" x14ac:dyDescent="0.2">
      <c r="A171" s="8"/>
      <c r="B171" s="9"/>
      <c r="C171" s="9"/>
      <c r="D171" s="9"/>
      <c r="E171" s="8"/>
      <c r="F171" s="8"/>
      <c r="G171" s="13"/>
      <c r="H171" s="14"/>
    </row>
    <row r="172" spans="1:8" x14ac:dyDescent="0.2">
      <c r="A172" s="18"/>
      <c r="B172" s="10"/>
      <c r="C172" s="10"/>
      <c r="D172" s="9"/>
      <c r="E172" s="18"/>
      <c r="F172" s="18"/>
      <c r="G172" s="13"/>
      <c r="H172" s="14"/>
    </row>
    <row r="173" spans="1:8" x14ac:dyDescent="0.2">
      <c r="A173" s="8"/>
      <c r="B173" s="9"/>
      <c r="C173" s="9"/>
      <c r="D173" s="9"/>
      <c r="E173" s="8"/>
      <c r="F173" s="8"/>
      <c r="G173" s="13"/>
      <c r="H173" s="14"/>
    </row>
    <row r="174" spans="1:8" x14ac:dyDescent="0.2">
      <c r="A174" s="8"/>
      <c r="B174" s="9"/>
      <c r="C174" s="9"/>
      <c r="D174" s="9"/>
      <c r="E174" s="8"/>
      <c r="F174" s="8"/>
      <c r="G174" s="13"/>
      <c r="H174" s="14"/>
    </row>
    <row r="175" spans="1:8" x14ac:dyDescent="0.2">
      <c r="A175" s="8"/>
      <c r="B175" s="9"/>
      <c r="C175" s="9"/>
      <c r="D175" s="9"/>
      <c r="E175" s="8"/>
      <c r="F175" s="8"/>
      <c r="G175" s="13"/>
      <c r="H175" s="14"/>
    </row>
    <row r="176" spans="1:8" x14ac:dyDescent="0.2">
      <c r="A176" s="8"/>
      <c r="B176" s="9"/>
      <c r="C176" s="9"/>
      <c r="D176" s="9"/>
      <c r="E176" s="8"/>
      <c r="F176" s="8"/>
      <c r="G176" s="13"/>
      <c r="H176" s="14"/>
    </row>
    <row r="177" spans="1:8" x14ac:dyDescent="0.2">
      <c r="A177" s="18"/>
      <c r="B177" s="9"/>
      <c r="C177" s="11"/>
      <c r="D177" s="9"/>
      <c r="E177" s="40"/>
      <c r="F177" s="40"/>
      <c r="G177" s="13"/>
      <c r="H177" s="14"/>
    </row>
    <row r="178" spans="1:8" x14ac:dyDescent="0.2">
      <c r="A178" s="21"/>
      <c r="B178" s="22"/>
      <c r="C178" s="22"/>
      <c r="D178" s="9"/>
      <c r="E178" s="21"/>
      <c r="F178" s="21"/>
      <c r="G178" s="13"/>
      <c r="H178" s="14"/>
    </row>
    <row r="179" spans="1:8" x14ac:dyDescent="0.2">
      <c r="A179" s="21"/>
      <c r="B179" s="22"/>
      <c r="C179" s="22"/>
      <c r="D179" s="9"/>
      <c r="E179" s="21"/>
      <c r="F179" s="21"/>
      <c r="G179" s="13"/>
      <c r="H179" s="14"/>
    </row>
    <row r="180" spans="1:8" x14ac:dyDescent="0.2">
      <c r="A180" s="21"/>
      <c r="B180" s="22"/>
      <c r="C180" s="22"/>
      <c r="D180" s="9"/>
      <c r="E180" s="21"/>
      <c r="F180" s="21"/>
      <c r="G180" s="13"/>
      <c r="H180" s="14"/>
    </row>
    <row r="181" spans="1:8" x14ac:dyDescent="0.2">
      <c r="A181" s="8"/>
      <c r="B181" s="22"/>
      <c r="D181" s="9"/>
      <c r="E181" s="4"/>
      <c r="F181" s="4"/>
      <c r="G181" s="13"/>
      <c r="H181" s="14"/>
    </row>
    <row r="182" spans="1:8" x14ac:dyDescent="0.2">
      <c r="A182" s="8"/>
      <c r="B182" s="22"/>
      <c r="D182" s="9"/>
      <c r="E182" s="4"/>
      <c r="F182" s="4"/>
      <c r="G182" s="13"/>
      <c r="H182" s="14"/>
    </row>
    <row r="183" spans="1:8" x14ac:dyDescent="0.2">
      <c r="A183" s="20"/>
      <c r="B183" s="11"/>
      <c r="C183" s="11"/>
      <c r="D183" s="40"/>
      <c r="E183" s="40"/>
      <c r="F183" s="40"/>
      <c r="G183" s="12"/>
      <c r="H183" s="14"/>
    </row>
    <row r="184" spans="1:8" x14ac:dyDescent="0.2">
      <c r="A184" s="8"/>
      <c r="E184" s="4"/>
      <c r="F184" s="4"/>
      <c r="G184" s="13"/>
      <c r="H184" s="12"/>
    </row>
    <row r="185" spans="1:8" x14ac:dyDescent="0.2">
      <c r="A185" s="8"/>
      <c r="B185" s="9"/>
      <c r="C185" s="9"/>
      <c r="D185" s="9"/>
      <c r="E185" s="8"/>
      <c r="F185" s="8"/>
      <c r="G185" s="13"/>
      <c r="H185" s="14"/>
    </row>
    <row r="186" spans="1:8" x14ac:dyDescent="0.2">
      <c r="A186" s="8"/>
      <c r="B186" s="9"/>
      <c r="C186" s="9"/>
      <c r="D186" s="9"/>
      <c r="E186" s="8"/>
      <c r="F186" s="8"/>
      <c r="G186" s="13"/>
      <c r="H186" s="14"/>
    </row>
    <row r="187" spans="1:8" x14ac:dyDescent="0.2">
      <c r="A187" s="8"/>
      <c r="B187" s="9"/>
      <c r="C187" s="9"/>
      <c r="D187" s="9"/>
      <c r="E187" s="8"/>
      <c r="F187" s="8"/>
      <c r="G187" s="13"/>
      <c r="H187" s="14"/>
    </row>
    <row r="188" spans="1:8" x14ac:dyDescent="0.2">
      <c r="A188" s="18"/>
      <c r="B188" s="10"/>
      <c r="C188" s="10"/>
      <c r="D188" s="9"/>
      <c r="E188" s="18"/>
      <c r="F188" s="18"/>
      <c r="G188" s="13"/>
      <c r="H188" s="14"/>
    </row>
    <row r="189" spans="1:8" x14ac:dyDescent="0.2">
      <c r="A189" s="8"/>
      <c r="B189" s="9"/>
      <c r="C189" s="9"/>
      <c r="D189" s="9"/>
      <c r="E189" s="8"/>
      <c r="F189" s="8"/>
      <c r="G189" s="13"/>
      <c r="H189" s="14"/>
    </row>
    <row r="190" spans="1:8" x14ac:dyDescent="0.2">
      <c r="A190" s="8"/>
      <c r="B190" s="9"/>
      <c r="C190" s="9"/>
      <c r="D190" s="9"/>
      <c r="E190" s="8"/>
      <c r="F190" s="8"/>
      <c r="G190" s="13"/>
      <c r="H190" s="14"/>
    </row>
    <row r="191" spans="1:8" x14ac:dyDescent="0.2">
      <c r="A191" s="8"/>
      <c r="B191" s="9"/>
      <c r="C191" s="9"/>
      <c r="D191" s="9"/>
      <c r="E191" s="8"/>
      <c r="F191" s="8"/>
      <c r="G191" s="13"/>
      <c r="H191" s="14"/>
    </row>
    <row r="192" spans="1:8" x14ac:dyDescent="0.2">
      <c r="A192" s="8"/>
      <c r="B192" s="9"/>
      <c r="C192" s="9"/>
      <c r="D192" s="9"/>
      <c r="E192" s="8"/>
      <c r="F192" s="8"/>
      <c r="G192" s="13"/>
      <c r="H192" s="14"/>
    </row>
    <row r="193" spans="1:8" x14ac:dyDescent="0.2">
      <c r="A193" s="8"/>
      <c r="B193" s="9"/>
      <c r="C193" s="9"/>
      <c r="D193" s="9"/>
      <c r="E193" s="8"/>
      <c r="F193" s="4"/>
      <c r="G193" s="13"/>
      <c r="H193" s="14"/>
    </row>
    <row r="194" spans="1:8" x14ac:dyDescent="0.2">
      <c r="A194" s="21"/>
      <c r="B194" s="22"/>
      <c r="C194" s="22"/>
      <c r="D194" s="9"/>
      <c r="E194" s="21"/>
      <c r="F194" s="21"/>
      <c r="G194" s="13"/>
      <c r="H194" s="14"/>
    </row>
    <row r="195" spans="1:8" x14ac:dyDescent="0.2">
      <c r="A195" s="21"/>
      <c r="B195" s="22"/>
      <c r="C195" s="22"/>
      <c r="D195" s="9"/>
      <c r="E195" s="21"/>
      <c r="F195" s="21"/>
      <c r="G195" s="13"/>
      <c r="H195" s="14"/>
    </row>
    <row r="196" spans="1:8" x14ac:dyDescent="0.2">
      <c r="A196" s="21"/>
      <c r="B196" s="22"/>
      <c r="C196" s="22"/>
      <c r="D196" s="9"/>
      <c r="E196" s="21"/>
      <c r="F196" s="21"/>
      <c r="G196" s="13"/>
      <c r="H196" s="14"/>
    </row>
    <row r="197" spans="1:8" x14ac:dyDescent="0.2">
      <c r="A197" s="8"/>
      <c r="B197" s="22"/>
      <c r="C197" s="22"/>
      <c r="E197" s="4"/>
      <c r="F197" s="4"/>
      <c r="G197" s="13"/>
      <c r="H197" s="5"/>
    </row>
    <row r="198" spans="1:8" x14ac:dyDescent="0.2">
      <c r="A198" s="8"/>
      <c r="B198" s="22"/>
      <c r="E198" s="4"/>
      <c r="F198" s="4"/>
      <c r="G198" s="13"/>
      <c r="H198" s="5"/>
    </row>
    <row r="199" spans="1:8" x14ac:dyDescent="0.2">
      <c r="A199" s="20"/>
      <c r="B199" s="11"/>
      <c r="C199" s="11"/>
      <c r="D199" s="40"/>
      <c r="E199" s="40"/>
      <c r="F199" s="40"/>
      <c r="G199" s="12"/>
      <c r="H199" s="5"/>
    </row>
    <row r="200" spans="1:8" x14ac:dyDescent="0.2">
      <c r="A200" s="8"/>
      <c r="E200" s="4"/>
      <c r="F200" s="4"/>
      <c r="G200" s="14"/>
      <c r="H200" s="5"/>
    </row>
    <row r="201" spans="1:8" x14ac:dyDescent="0.2">
      <c r="A201" s="8"/>
      <c r="B201" s="9"/>
      <c r="C201" s="9"/>
      <c r="D201" s="9"/>
      <c r="E201" s="8"/>
      <c r="F201" s="8"/>
      <c r="G201" s="14"/>
      <c r="H201" s="5"/>
    </row>
    <row r="202" spans="1:8" x14ac:dyDescent="0.2">
      <c r="A202" s="8"/>
      <c r="B202" s="9"/>
      <c r="C202" s="9"/>
      <c r="D202" s="9"/>
      <c r="E202" s="8"/>
      <c r="F202" s="8"/>
      <c r="G202" s="14"/>
      <c r="H202" s="5"/>
    </row>
    <row r="203" spans="1:8" x14ac:dyDescent="0.2">
      <c r="A203" s="8"/>
      <c r="B203" s="9"/>
      <c r="C203" s="9"/>
      <c r="D203" s="9"/>
      <c r="E203" s="8"/>
      <c r="F203" s="8"/>
      <c r="G203" s="14"/>
      <c r="H203" s="5"/>
    </row>
    <row r="204" spans="1:8" x14ac:dyDescent="0.2">
      <c r="A204" s="18"/>
      <c r="B204" s="10"/>
      <c r="C204" s="10"/>
      <c r="D204" s="9"/>
      <c r="E204" s="18"/>
      <c r="F204" s="18"/>
      <c r="G204" s="14"/>
      <c r="H204" s="5"/>
    </row>
    <row r="205" spans="1:8" x14ac:dyDescent="0.2">
      <c r="A205" s="8"/>
      <c r="B205" s="9"/>
      <c r="C205" s="9"/>
      <c r="D205" s="9"/>
      <c r="E205" s="8"/>
      <c r="F205" s="8"/>
      <c r="G205" s="14"/>
      <c r="H205" s="5"/>
    </row>
    <row r="206" spans="1:8" x14ac:dyDescent="0.2">
      <c r="A206" s="8"/>
      <c r="B206" s="9"/>
      <c r="C206" s="9"/>
      <c r="D206" s="9"/>
      <c r="E206" s="8"/>
      <c r="F206" s="8"/>
      <c r="G206" s="14"/>
      <c r="H206" s="5"/>
    </row>
    <row r="207" spans="1:8" x14ac:dyDescent="0.2">
      <c r="A207" s="8"/>
      <c r="B207" s="9"/>
      <c r="C207" s="9"/>
      <c r="D207" s="9"/>
      <c r="E207" s="8"/>
      <c r="F207" s="8"/>
      <c r="G207" s="14"/>
      <c r="H207" s="5"/>
    </row>
    <row r="208" spans="1:8" x14ac:dyDescent="0.2">
      <c r="A208" s="8"/>
      <c r="B208" s="9"/>
      <c r="C208" s="9"/>
      <c r="D208" s="9"/>
      <c r="E208" s="8"/>
      <c r="F208" s="4"/>
      <c r="G208" s="14"/>
      <c r="H208" s="5"/>
    </row>
    <row r="209" spans="1:8" x14ac:dyDescent="0.2">
      <c r="A209" s="8"/>
      <c r="B209" s="9"/>
      <c r="C209" s="9"/>
      <c r="D209" s="9"/>
      <c r="E209" s="8"/>
      <c r="F209" s="4"/>
      <c r="G209" s="14"/>
      <c r="H209" s="5"/>
    </row>
    <row r="210" spans="1:8" x14ac:dyDescent="0.2">
      <c r="A210" s="21"/>
      <c r="B210" s="22"/>
      <c r="C210" s="22"/>
      <c r="D210" s="9"/>
      <c r="E210" s="21"/>
      <c r="F210" s="21"/>
      <c r="G210" s="14"/>
      <c r="H210" s="5"/>
    </row>
    <row r="211" spans="1:8" x14ac:dyDescent="0.2">
      <c r="A211" s="21"/>
      <c r="B211" s="22"/>
      <c r="C211" s="22"/>
      <c r="D211" s="9"/>
      <c r="E211" s="21"/>
      <c r="F211" s="21"/>
      <c r="G211" s="14"/>
      <c r="H211" s="5"/>
    </row>
    <row r="212" spans="1:8" x14ac:dyDescent="0.2">
      <c r="A212" s="21"/>
      <c r="B212" s="22"/>
      <c r="C212" s="22"/>
      <c r="D212" s="9"/>
      <c r="E212" s="21"/>
      <c r="F212" s="21"/>
      <c r="G212" s="14"/>
      <c r="H212" s="5"/>
    </row>
    <row r="213" spans="1:8" x14ac:dyDescent="0.2">
      <c r="A213" s="8"/>
      <c r="B213" s="22"/>
      <c r="C213" s="9"/>
      <c r="D213" s="9"/>
      <c r="E213" s="8"/>
      <c r="F213" s="4"/>
      <c r="G213" s="14"/>
      <c r="H213" s="3"/>
    </row>
    <row r="214" spans="1:8" x14ac:dyDescent="0.2">
      <c r="A214" s="8"/>
      <c r="B214" s="22"/>
      <c r="C214" s="9"/>
      <c r="D214" s="9"/>
      <c r="E214" s="4"/>
      <c r="F214" s="4"/>
      <c r="G214" s="14"/>
      <c r="H214" s="3"/>
    </row>
    <row r="215" spans="1:8" x14ac:dyDescent="0.2">
      <c r="A215" s="20"/>
      <c r="B215" s="11"/>
      <c r="C215" s="11"/>
      <c r="D215" s="40"/>
      <c r="E215" s="40"/>
      <c r="F215" s="40"/>
      <c r="G215" s="12"/>
      <c r="H215" s="3"/>
    </row>
    <row r="216" spans="1:8" x14ac:dyDescent="0.2">
      <c r="A216" s="8"/>
      <c r="E216" s="4"/>
      <c r="F216" s="4"/>
      <c r="G216" s="14"/>
    </row>
    <row r="217" spans="1:8" x14ac:dyDescent="0.2">
      <c r="A217" s="8"/>
      <c r="B217" s="9"/>
      <c r="C217" s="9"/>
      <c r="D217" s="9"/>
      <c r="E217" s="8"/>
      <c r="F217" s="8"/>
      <c r="G217" s="14"/>
      <c r="H217" s="6"/>
    </row>
    <row r="218" spans="1:8" x14ac:dyDescent="0.2">
      <c r="A218" s="8"/>
      <c r="B218" s="9"/>
      <c r="C218" s="9"/>
      <c r="D218" s="9"/>
      <c r="E218" s="8"/>
      <c r="F218" s="8"/>
      <c r="G218" s="14"/>
      <c r="H218" s="5"/>
    </row>
    <row r="219" spans="1:8" x14ac:dyDescent="0.2">
      <c r="A219" s="8"/>
      <c r="B219" s="9"/>
      <c r="C219" s="9"/>
      <c r="D219" s="9"/>
      <c r="E219" s="8"/>
      <c r="F219" s="8"/>
      <c r="G219" s="14"/>
      <c r="H219" s="5"/>
    </row>
    <row r="220" spans="1:8" x14ac:dyDescent="0.2">
      <c r="A220" s="18"/>
      <c r="B220" s="10"/>
      <c r="C220" s="10"/>
      <c r="D220" s="9"/>
      <c r="E220" s="18"/>
      <c r="F220" s="18"/>
      <c r="G220" s="14"/>
      <c r="H220" s="5"/>
    </row>
    <row r="221" spans="1:8" x14ac:dyDescent="0.2">
      <c r="A221" s="8"/>
      <c r="B221" s="9"/>
      <c r="C221" s="9"/>
      <c r="D221" s="9"/>
      <c r="E221" s="8"/>
      <c r="F221" s="8"/>
      <c r="G221" s="14"/>
      <c r="H221" s="5"/>
    </row>
    <row r="222" spans="1:8" x14ac:dyDescent="0.2">
      <c r="A222" s="8"/>
      <c r="B222" s="9"/>
      <c r="C222" s="9"/>
      <c r="D222" s="9"/>
      <c r="E222" s="8"/>
      <c r="F222" s="8"/>
      <c r="G222" s="14"/>
      <c r="H222" s="5"/>
    </row>
    <row r="223" spans="1:8" x14ac:dyDescent="0.2">
      <c r="A223" s="8"/>
      <c r="B223" s="9"/>
      <c r="C223" s="9"/>
      <c r="D223" s="9"/>
      <c r="E223" s="8"/>
      <c r="F223" s="8"/>
      <c r="G223" s="14"/>
      <c r="H223" s="5"/>
    </row>
    <row r="224" spans="1:8" x14ac:dyDescent="0.2">
      <c r="A224" s="8"/>
      <c r="B224" s="9"/>
      <c r="C224" s="9"/>
      <c r="D224" s="9"/>
      <c r="E224" s="8"/>
      <c r="F224" s="16"/>
      <c r="G224" s="14"/>
      <c r="H224" s="5"/>
    </row>
    <row r="225" spans="1:8" x14ac:dyDescent="0.2">
      <c r="A225" s="8"/>
      <c r="B225" s="9"/>
      <c r="C225" s="9"/>
      <c r="D225" s="9"/>
      <c r="E225" s="8"/>
      <c r="F225" s="16"/>
      <c r="G225" s="14"/>
      <c r="H225" s="5"/>
    </row>
    <row r="226" spans="1:8" x14ac:dyDescent="0.2">
      <c r="A226" s="21"/>
      <c r="B226" s="22"/>
      <c r="C226" s="22"/>
      <c r="D226" s="9"/>
      <c r="E226" s="21"/>
      <c r="F226" s="21"/>
      <c r="G226" s="14"/>
      <c r="H226" s="5"/>
    </row>
    <row r="227" spans="1:8" x14ac:dyDescent="0.2">
      <c r="A227" s="21"/>
      <c r="B227" s="22"/>
      <c r="C227" s="22"/>
      <c r="D227" s="9"/>
      <c r="E227" s="21"/>
      <c r="F227" s="21"/>
      <c r="G227" s="14"/>
      <c r="H227" s="5"/>
    </row>
    <row r="228" spans="1:8" x14ac:dyDescent="0.2">
      <c r="A228" s="21"/>
      <c r="B228" s="22"/>
      <c r="C228" s="22"/>
      <c r="D228" s="9"/>
      <c r="E228" s="21"/>
      <c r="F228" s="21"/>
      <c r="G228" s="14"/>
      <c r="H228" s="5"/>
    </row>
    <row r="229" spans="1:8" x14ac:dyDescent="0.2">
      <c r="A229" s="8"/>
      <c r="B229" s="22"/>
      <c r="C229" s="9"/>
      <c r="D229" s="9"/>
      <c r="E229" s="8"/>
      <c r="F229" s="16"/>
      <c r="G229" s="13"/>
      <c r="H229" s="5"/>
    </row>
    <row r="230" spans="1:8" x14ac:dyDescent="0.2">
      <c r="A230" s="4"/>
      <c r="B230" s="22"/>
      <c r="C230" s="9"/>
      <c r="D230" s="9"/>
      <c r="E230" s="8"/>
      <c r="F230" s="16"/>
      <c r="G230" s="13"/>
      <c r="H230" s="5"/>
    </row>
    <row r="231" spans="1:8" x14ac:dyDescent="0.2">
      <c r="A231" s="2"/>
      <c r="B231" s="11"/>
      <c r="C231" s="11"/>
      <c r="D231" s="40"/>
      <c r="E231" s="40"/>
      <c r="F231" s="40"/>
      <c r="G231" s="12"/>
      <c r="H231" s="5"/>
    </row>
    <row r="232" spans="1:8" x14ac:dyDescent="0.2">
      <c r="A232" s="8"/>
      <c r="E232" s="4"/>
      <c r="F232" s="4"/>
      <c r="G232" s="13"/>
      <c r="H232" s="5"/>
    </row>
    <row r="233" spans="1:8" x14ac:dyDescent="0.2">
      <c r="A233" s="8"/>
      <c r="B233" s="9"/>
      <c r="C233" s="9"/>
      <c r="D233" s="9"/>
      <c r="E233" s="8"/>
      <c r="F233" s="8"/>
      <c r="G233" s="13"/>
      <c r="H233" s="5"/>
    </row>
    <row r="234" spans="1:8" x14ac:dyDescent="0.2">
      <c r="A234" s="8"/>
      <c r="B234" s="9"/>
      <c r="C234" s="9"/>
      <c r="D234" s="9"/>
      <c r="E234" s="8"/>
      <c r="F234" s="8"/>
      <c r="G234" s="13"/>
      <c r="H234" s="5"/>
    </row>
    <row r="235" spans="1:8" x14ac:dyDescent="0.2">
      <c r="A235" s="8"/>
      <c r="B235" s="9"/>
      <c r="C235" s="9"/>
      <c r="D235" s="9"/>
      <c r="E235" s="8"/>
      <c r="F235" s="8"/>
      <c r="G235" s="13"/>
      <c r="H235" s="5"/>
    </row>
    <row r="236" spans="1:8" x14ac:dyDescent="0.2">
      <c r="A236" s="18"/>
      <c r="B236" s="10"/>
      <c r="C236" s="10"/>
      <c r="D236" s="9"/>
      <c r="E236" s="18"/>
      <c r="F236" s="18"/>
      <c r="G236" s="13"/>
      <c r="H236" s="5"/>
    </row>
    <row r="237" spans="1:8" x14ac:dyDescent="0.2">
      <c r="A237" s="8"/>
      <c r="B237" s="9"/>
      <c r="C237" s="9"/>
      <c r="D237" s="9"/>
      <c r="E237" s="8"/>
      <c r="F237" s="8"/>
      <c r="G237" s="13"/>
      <c r="H237" s="5"/>
    </row>
    <row r="238" spans="1:8" x14ac:dyDescent="0.2">
      <c r="A238" s="8"/>
      <c r="B238" s="23"/>
      <c r="C238" s="23"/>
      <c r="D238" s="9"/>
      <c r="E238" s="8"/>
      <c r="F238" s="8"/>
      <c r="G238" s="13"/>
      <c r="H238" s="5"/>
    </row>
    <row r="239" spans="1:8" x14ac:dyDescent="0.2">
      <c r="A239" s="8"/>
      <c r="B239" s="23"/>
      <c r="C239" s="23"/>
      <c r="D239" s="9"/>
      <c r="E239" s="8"/>
      <c r="F239" s="8"/>
      <c r="G239" s="13"/>
      <c r="H239" s="5"/>
    </row>
    <row r="240" spans="1:8" x14ac:dyDescent="0.2">
      <c r="A240" s="8"/>
      <c r="B240" s="23"/>
      <c r="C240" s="23"/>
      <c r="D240" s="9"/>
      <c r="E240" s="8"/>
      <c r="F240" s="9"/>
      <c r="G240" s="13"/>
      <c r="H240" s="5"/>
    </row>
    <row r="241" spans="1:8" x14ac:dyDescent="0.2">
      <c r="A241" s="18"/>
      <c r="B241" s="24"/>
      <c r="C241" s="24"/>
      <c r="D241" s="9"/>
      <c r="E241" s="18"/>
      <c r="F241" s="18"/>
      <c r="G241" s="13"/>
      <c r="H241" s="3"/>
    </row>
    <row r="242" spans="1:8" x14ac:dyDescent="0.2">
      <c r="A242" s="21"/>
      <c r="B242" s="25"/>
      <c r="C242" s="25"/>
      <c r="D242" s="9"/>
      <c r="E242" s="21"/>
      <c r="F242" s="21"/>
      <c r="G242" s="13"/>
      <c r="H242" s="3"/>
    </row>
    <row r="243" spans="1:8" x14ac:dyDescent="0.2">
      <c r="A243" s="21"/>
      <c r="B243" s="26"/>
      <c r="C243" s="25"/>
      <c r="D243" s="9"/>
      <c r="E243" s="21"/>
      <c r="F243" s="21"/>
      <c r="G243" s="13"/>
      <c r="H243" s="3"/>
    </row>
    <row r="244" spans="1:8" x14ac:dyDescent="0.2">
      <c r="A244" s="21"/>
      <c r="B244" s="26"/>
      <c r="C244" s="22"/>
      <c r="D244" s="9"/>
      <c r="E244" s="21"/>
      <c r="F244" s="21"/>
      <c r="G244" s="13"/>
      <c r="H244" s="3"/>
    </row>
    <row r="245" spans="1:8" x14ac:dyDescent="0.2">
      <c r="A245" s="18"/>
      <c r="B245" s="10"/>
      <c r="C245" s="18"/>
      <c r="D245" s="9"/>
      <c r="E245" s="18"/>
      <c r="F245" s="18"/>
      <c r="G245" s="13"/>
      <c r="H245" s="3"/>
    </row>
    <row r="246" spans="1:8" x14ac:dyDescent="0.2">
      <c r="A246" s="18"/>
      <c r="B246" s="10"/>
      <c r="C246" s="18"/>
      <c r="D246" s="9"/>
      <c r="E246" s="18"/>
      <c r="F246" s="18"/>
      <c r="G246" s="13"/>
      <c r="H246" s="3"/>
    </row>
    <row r="247" spans="1:8" x14ac:dyDescent="0.2">
      <c r="A247" s="20"/>
      <c r="B247" s="167"/>
      <c r="C247" s="167"/>
      <c r="D247" s="19"/>
      <c r="E247" s="19"/>
      <c r="F247" s="19"/>
      <c r="G247" s="12"/>
      <c r="H247" s="3"/>
    </row>
    <row r="248" spans="1:8" x14ac:dyDescent="0.2">
      <c r="A248" s="8"/>
      <c r="E248" s="4"/>
      <c r="F248" s="8"/>
      <c r="G248" s="13"/>
      <c r="H248" s="3"/>
    </row>
    <row r="249" spans="1:8" x14ac:dyDescent="0.2">
      <c r="A249" s="8"/>
      <c r="B249" s="9"/>
      <c r="C249" s="9"/>
      <c r="D249" s="9"/>
      <c r="E249" s="8"/>
      <c r="F249" s="4"/>
      <c r="G249" s="13"/>
    </row>
    <row r="250" spans="1:8" x14ac:dyDescent="0.2">
      <c r="A250" s="8"/>
      <c r="B250" s="9"/>
      <c r="C250" s="9"/>
      <c r="D250" s="9"/>
      <c r="E250" s="8"/>
      <c r="F250" s="8"/>
      <c r="G250" s="13"/>
      <c r="H250" s="6"/>
    </row>
    <row r="251" spans="1:8" x14ac:dyDescent="0.2">
      <c r="A251" s="8"/>
      <c r="B251" s="9"/>
      <c r="C251" s="9"/>
      <c r="D251" s="9"/>
      <c r="E251" s="8"/>
      <c r="F251" s="8"/>
      <c r="G251" s="13"/>
      <c r="H251" s="15"/>
    </row>
    <row r="252" spans="1:8" x14ac:dyDescent="0.2">
      <c r="A252" s="18"/>
      <c r="B252" s="10"/>
      <c r="C252" s="10"/>
      <c r="D252" s="9"/>
      <c r="E252" s="18"/>
      <c r="F252" s="18"/>
      <c r="G252" s="13"/>
      <c r="H252" s="15"/>
    </row>
    <row r="253" spans="1:8" x14ac:dyDescent="0.2">
      <c r="A253" s="8"/>
      <c r="B253" s="9"/>
      <c r="C253" s="9"/>
      <c r="D253" s="9"/>
      <c r="E253" s="8"/>
      <c r="F253" s="8"/>
      <c r="G253" s="13"/>
      <c r="H253" s="5"/>
    </row>
    <row r="254" spans="1:8" x14ac:dyDescent="0.2">
      <c r="A254" s="8"/>
      <c r="B254" s="9"/>
      <c r="C254" s="9"/>
      <c r="D254" s="9"/>
      <c r="E254" s="8"/>
      <c r="F254" s="8"/>
      <c r="G254" s="13"/>
      <c r="H254" s="5"/>
    </row>
    <row r="255" spans="1:8" x14ac:dyDescent="0.2">
      <c r="A255" s="8"/>
      <c r="B255" s="9"/>
      <c r="C255" s="9"/>
      <c r="D255" s="9"/>
      <c r="E255" s="8"/>
      <c r="F255" s="8"/>
      <c r="G255" s="13"/>
      <c r="H255" s="5"/>
    </row>
    <row r="256" spans="1:8" x14ac:dyDescent="0.2">
      <c r="A256" s="8"/>
      <c r="B256" s="9"/>
      <c r="C256" s="9"/>
      <c r="D256" s="9"/>
      <c r="E256" s="8"/>
      <c r="F256" s="4"/>
      <c r="G256" s="13"/>
      <c r="H256" s="5"/>
    </row>
    <row r="257" spans="1:8" x14ac:dyDescent="0.2">
      <c r="A257" s="8"/>
      <c r="B257" s="9"/>
      <c r="C257" s="9"/>
      <c r="D257" s="9"/>
      <c r="E257" s="8"/>
      <c r="F257" s="4"/>
      <c r="G257" s="13"/>
      <c r="H257" s="5"/>
    </row>
    <row r="258" spans="1:8" x14ac:dyDescent="0.2">
      <c r="A258" s="21"/>
      <c r="B258" s="22"/>
      <c r="C258" s="22"/>
      <c r="D258" s="9"/>
      <c r="E258" s="21"/>
      <c r="F258" s="21"/>
      <c r="G258" s="13"/>
      <c r="H258" s="5"/>
    </row>
    <row r="259" spans="1:8" x14ac:dyDescent="0.2">
      <c r="A259" s="21"/>
      <c r="B259" s="22"/>
      <c r="C259" s="22"/>
      <c r="D259" s="9"/>
      <c r="E259" s="21"/>
      <c r="F259" s="21"/>
      <c r="G259" s="13"/>
      <c r="H259" s="5"/>
    </row>
    <row r="260" spans="1:8" x14ac:dyDescent="0.2">
      <c r="A260" s="21"/>
      <c r="B260" s="22"/>
      <c r="C260" s="22"/>
      <c r="D260" s="9"/>
      <c r="E260" s="21"/>
      <c r="F260" s="21"/>
      <c r="G260" s="13"/>
      <c r="H260" s="5"/>
    </row>
    <row r="261" spans="1:8" x14ac:dyDescent="0.2">
      <c r="A261" s="18"/>
      <c r="B261" s="11"/>
      <c r="C261" s="11"/>
      <c r="D261" s="9"/>
      <c r="E261" s="8"/>
      <c r="F261" s="8"/>
      <c r="G261" s="13"/>
      <c r="H261" s="5"/>
    </row>
    <row r="262" spans="1:8" x14ac:dyDescent="0.2">
      <c r="A262" s="8"/>
      <c r="B262" s="22"/>
      <c r="D262" s="9"/>
      <c r="E262" s="4"/>
      <c r="F262" s="4"/>
      <c r="G262" s="14"/>
      <c r="H262" s="5"/>
    </row>
    <row r="263" spans="1:8" x14ac:dyDescent="0.2">
      <c r="A263" s="20"/>
      <c r="B263" s="167"/>
      <c r="C263" s="167"/>
      <c r="D263" s="19"/>
      <c r="E263" s="19"/>
      <c r="F263" s="19"/>
      <c r="G263" s="12"/>
      <c r="H263" s="5"/>
    </row>
    <row r="264" spans="1:8" x14ac:dyDescent="0.2">
      <c r="A264" s="8"/>
      <c r="E264" s="4"/>
      <c r="F264" s="4"/>
      <c r="G264" s="13"/>
      <c r="H264" s="5"/>
    </row>
    <row r="265" spans="1:8" x14ac:dyDescent="0.2">
      <c r="A265" s="8"/>
      <c r="B265" s="9"/>
      <c r="C265" s="9"/>
      <c r="D265" s="9"/>
      <c r="E265" s="8"/>
      <c r="F265" s="8"/>
      <c r="G265" s="13"/>
      <c r="H265" s="5"/>
    </row>
    <row r="266" spans="1:8" x14ac:dyDescent="0.2">
      <c r="A266" s="8"/>
      <c r="B266" s="9"/>
      <c r="C266" s="9"/>
      <c r="D266" s="9"/>
      <c r="E266" s="8"/>
      <c r="F266" s="8"/>
      <c r="G266" s="13"/>
      <c r="H266" s="5"/>
    </row>
    <row r="267" spans="1:8" x14ac:dyDescent="0.2">
      <c r="A267" s="8"/>
      <c r="B267" s="9"/>
      <c r="C267" s="9"/>
      <c r="D267" s="9"/>
      <c r="E267" s="8"/>
      <c r="F267" s="8"/>
      <c r="G267" s="13"/>
      <c r="H267" s="5"/>
    </row>
    <row r="268" spans="1:8" x14ac:dyDescent="0.2">
      <c r="A268" s="18"/>
      <c r="B268" s="10"/>
      <c r="C268" s="10"/>
      <c r="D268" s="9"/>
      <c r="E268" s="18"/>
      <c r="F268" s="18"/>
      <c r="G268" s="13"/>
      <c r="H268" s="5"/>
    </row>
    <row r="269" spans="1:8" x14ac:dyDescent="0.2">
      <c r="A269" s="8"/>
      <c r="B269" s="9"/>
      <c r="C269" s="9"/>
      <c r="D269" s="9"/>
      <c r="E269" s="8"/>
      <c r="F269" s="8"/>
      <c r="G269" s="13"/>
      <c r="H269" s="5"/>
    </row>
    <row r="270" spans="1:8" x14ac:dyDescent="0.2">
      <c r="A270" s="8"/>
      <c r="B270" s="9"/>
      <c r="C270" s="9"/>
      <c r="D270" s="9"/>
      <c r="E270" s="8"/>
      <c r="F270" s="8"/>
      <c r="G270" s="13"/>
      <c r="H270" s="5"/>
    </row>
    <row r="271" spans="1:8" x14ac:dyDescent="0.2">
      <c r="A271" s="8"/>
      <c r="B271" s="9"/>
      <c r="C271" s="9"/>
      <c r="D271" s="9"/>
      <c r="E271" s="8"/>
      <c r="F271" s="8"/>
      <c r="G271" s="13"/>
      <c r="H271" s="5"/>
    </row>
    <row r="272" spans="1:8" x14ac:dyDescent="0.2">
      <c r="A272" s="8"/>
      <c r="B272" s="9"/>
      <c r="C272" s="9"/>
      <c r="D272" s="9"/>
      <c r="E272" s="8"/>
      <c r="F272" s="4"/>
      <c r="G272" s="13"/>
      <c r="H272" s="5"/>
    </row>
    <row r="273" spans="1:8" x14ac:dyDescent="0.2">
      <c r="A273" s="8"/>
      <c r="B273" s="9"/>
      <c r="C273" s="9"/>
      <c r="D273" s="9"/>
      <c r="E273" s="4"/>
      <c r="F273" s="4"/>
      <c r="G273" s="13"/>
      <c r="H273" s="5"/>
    </row>
    <row r="274" spans="1:8" x14ac:dyDescent="0.2">
      <c r="A274" s="21"/>
      <c r="B274" s="22"/>
      <c r="C274" s="22"/>
      <c r="D274" s="9"/>
      <c r="E274" s="21"/>
      <c r="F274" s="21"/>
      <c r="G274" s="13"/>
      <c r="H274" s="5"/>
    </row>
    <row r="275" spans="1:8" x14ac:dyDescent="0.2">
      <c r="A275" s="21"/>
      <c r="B275" s="22"/>
      <c r="C275" s="22"/>
      <c r="D275" s="9"/>
      <c r="E275" s="21"/>
      <c r="F275" s="21"/>
      <c r="G275" s="13"/>
      <c r="H275" s="5"/>
    </row>
    <row r="276" spans="1:8" x14ac:dyDescent="0.2">
      <c r="A276" s="21"/>
      <c r="B276" s="22"/>
      <c r="C276" s="22"/>
      <c r="D276" s="9"/>
      <c r="E276" s="21"/>
      <c r="F276" s="21"/>
      <c r="G276" s="13"/>
      <c r="H276" s="5"/>
    </row>
    <row r="277" spans="1:8" x14ac:dyDescent="0.2">
      <c r="A277" s="8"/>
      <c r="B277" s="22"/>
      <c r="E277" s="4"/>
      <c r="F277" s="4"/>
      <c r="G277" s="13"/>
      <c r="H277" s="5"/>
    </row>
    <row r="278" spans="1:8" x14ac:dyDescent="0.2">
      <c r="A278" s="8"/>
      <c r="B278" s="22"/>
      <c r="E278" s="4"/>
      <c r="F278" s="4"/>
      <c r="G278" s="13"/>
      <c r="H278" s="5"/>
    </row>
    <row r="279" spans="1:8" x14ac:dyDescent="0.2">
      <c r="A279" s="20"/>
      <c r="B279" s="167"/>
      <c r="C279" s="167"/>
      <c r="D279" s="19"/>
      <c r="E279" s="19"/>
      <c r="F279" s="19"/>
      <c r="G279" s="12"/>
      <c r="H279" s="5"/>
    </row>
    <row r="280" spans="1:8" x14ac:dyDescent="0.2">
      <c r="A280" s="8"/>
      <c r="E280" s="4"/>
      <c r="F280" s="4"/>
      <c r="G280" s="13"/>
      <c r="H280" s="5"/>
    </row>
    <row r="281" spans="1:8" x14ac:dyDescent="0.2">
      <c r="A281" s="8"/>
      <c r="B281" s="9"/>
      <c r="C281" s="9"/>
      <c r="D281" s="9"/>
      <c r="E281" s="8"/>
      <c r="F281" s="8"/>
      <c r="G281" s="13"/>
      <c r="H281" s="5"/>
    </row>
    <row r="282" spans="1:8" x14ac:dyDescent="0.2">
      <c r="A282" s="8"/>
      <c r="B282" s="9"/>
      <c r="C282" s="9"/>
      <c r="D282" s="9"/>
      <c r="E282" s="8"/>
      <c r="F282" s="8"/>
      <c r="G282" s="13"/>
      <c r="H282" s="5"/>
    </row>
    <row r="283" spans="1:8" x14ac:dyDescent="0.2">
      <c r="A283" s="8"/>
      <c r="B283" s="9"/>
      <c r="C283" s="9"/>
      <c r="D283" s="9"/>
      <c r="E283" s="8"/>
      <c r="F283" s="8"/>
      <c r="G283" s="13"/>
      <c r="H283" s="3"/>
    </row>
    <row r="284" spans="1:8" x14ac:dyDescent="0.2">
      <c r="A284" s="18"/>
      <c r="B284" s="10"/>
      <c r="C284" s="10"/>
      <c r="D284" s="9"/>
      <c r="E284" s="18"/>
      <c r="F284" s="18"/>
      <c r="G284" s="13"/>
      <c r="H284" s="3"/>
    </row>
    <row r="285" spans="1:8" x14ac:dyDescent="0.2">
      <c r="A285" s="8"/>
      <c r="B285" s="9"/>
      <c r="C285" s="9"/>
      <c r="D285" s="9"/>
      <c r="E285" s="8"/>
      <c r="F285" s="8"/>
      <c r="G285" s="13"/>
      <c r="H285" s="3"/>
    </row>
    <row r="286" spans="1:8" x14ac:dyDescent="0.2">
      <c r="A286" s="8"/>
      <c r="B286" s="9"/>
      <c r="C286" s="9"/>
      <c r="D286" s="9"/>
      <c r="E286" s="8"/>
      <c r="F286" s="8"/>
      <c r="G286" s="13"/>
    </row>
    <row r="287" spans="1:8" x14ac:dyDescent="0.2">
      <c r="A287" s="8"/>
      <c r="B287" s="9"/>
      <c r="C287" s="9"/>
      <c r="D287" s="9"/>
      <c r="E287" s="8"/>
      <c r="F287" s="8"/>
      <c r="G287" s="13"/>
      <c r="H287" s="6"/>
    </row>
    <row r="288" spans="1:8" x14ac:dyDescent="0.2">
      <c r="A288" s="8"/>
      <c r="B288" s="9"/>
      <c r="C288" s="9"/>
      <c r="D288" s="9"/>
      <c r="E288" s="8"/>
      <c r="F288" s="4"/>
      <c r="G288" s="13"/>
      <c r="H288" s="3"/>
    </row>
    <row r="289" spans="1:8" x14ac:dyDescent="0.2">
      <c r="A289" s="8"/>
      <c r="B289" s="9"/>
      <c r="C289" s="9"/>
      <c r="D289" s="9"/>
      <c r="E289" s="8"/>
      <c r="F289" s="4"/>
      <c r="G289" s="13"/>
      <c r="H289" s="3"/>
    </row>
    <row r="290" spans="1:8" x14ac:dyDescent="0.2">
      <c r="A290" s="21"/>
      <c r="B290" s="22"/>
      <c r="C290" s="22"/>
      <c r="D290" s="9"/>
      <c r="E290" s="21"/>
      <c r="F290" s="21"/>
      <c r="G290" s="13"/>
      <c r="H290" s="3"/>
    </row>
    <row r="291" spans="1:8" x14ac:dyDescent="0.2">
      <c r="A291" s="21"/>
      <c r="B291" s="22"/>
      <c r="C291" s="22"/>
      <c r="D291" s="9"/>
      <c r="E291" s="21"/>
      <c r="F291" s="21"/>
      <c r="G291" s="13"/>
      <c r="H291" s="3"/>
    </row>
    <row r="292" spans="1:8" x14ac:dyDescent="0.2">
      <c r="A292" s="21"/>
      <c r="B292" s="22"/>
      <c r="C292" s="22"/>
      <c r="D292" s="9"/>
      <c r="E292" s="21"/>
      <c r="F292" s="21"/>
      <c r="G292" s="13"/>
      <c r="H292" s="3"/>
    </row>
    <row r="293" spans="1:8" x14ac:dyDescent="0.2">
      <c r="A293" s="8"/>
      <c r="B293" s="22"/>
      <c r="C293" s="9"/>
      <c r="D293" s="9"/>
      <c r="E293" s="8"/>
      <c r="F293" s="4"/>
      <c r="G293" s="13"/>
      <c r="H293" s="3"/>
    </row>
    <row r="294" spans="1:8" x14ac:dyDescent="0.2">
      <c r="A294" s="8"/>
      <c r="B294" s="22"/>
      <c r="C294" s="9"/>
      <c r="D294" s="9"/>
      <c r="E294" s="4"/>
      <c r="F294" s="4"/>
      <c r="G294" s="13"/>
      <c r="H294" s="3"/>
    </row>
    <row r="295" spans="1:8" x14ac:dyDescent="0.2">
      <c r="A295" s="20"/>
      <c r="B295" s="167"/>
      <c r="C295" s="167"/>
      <c r="D295" s="19"/>
      <c r="E295" s="19"/>
      <c r="F295" s="19"/>
      <c r="G295" s="12"/>
      <c r="H295" s="3"/>
    </row>
    <row r="296" spans="1:8" x14ac:dyDescent="0.2">
      <c r="A296" s="8"/>
      <c r="B296" s="9"/>
      <c r="E296" s="4"/>
      <c r="F296" s="4"/>
      <c r="G296" s="13"/>
      <c r="H296" s="3"/>
    </row>
    <row r="297" spans="1:8" x14ac:dyDescent="0.2">
      <c r="A297" s="8"/>
      <c r="C297" s="9"/>
      <c r="D297" s="9"/>
      <c r="E297" s="8"/>
      <c r="F297" s="8"/>
      <c r="G297" s="13"/>
      <c r="H297" s="3"/>
    </row>
    <row r="298" spans="1:8" x14ac:dyDescent="0.2">
      <c r="A298" s="8"/>
      <c r="B298" s="9"/>
      <c r="C298" s="9"/>
      <c r="D298" s="9"/>
      <c r="E298" s="8"/>
      <c r="F298" s="8"/>
      <c r="G298" s="13"/>
      <c r="H298" s="3"/>
    </row>
    <row r="299" spans="1:8" x14ac:dyDescent="0.2">
      <c r="A299" s="8"/>
      <c r="B299" s="9"/>
      <c r="C299" s="9"/>
      <c r="D299" s="9"/>
      <c r="E299" s="4"/>
      <c r="F299" s="27"/>
      <c r="G299" s="13"/>
      <c r="H299" s="3"/>
    </row>
    <row r="300" spans="1:8" x14ac:dyDescent="0.2">
      <c r="A300" s="18"/>
      <c r="B300" s="10"/>
      <c r="C300" s="10"/>
      <c r="D300" s="9"/>
      <c r="E300" s="8"/>
      <c r="F300" s="18"/>
      <c r="G300" s="13"/>
      <c r="H300" s="3"/>
    </row>
    <row r="301" spans="1:8" x14ac:dyDescent="0.2">
      <c r="A301" s="8"/>
      <c r="B301" s="9"/>
      <c r="C301" s="9"/>
      <c r="D301" s="9"/>
      <c r="E301" s="8"/>
      <c r="F301" s="27"/>
      <c r="G301" s="13"/>
      <c r="H301" s="3"/>
    </row>
    <row r="302" spans="1:8" x14ac:dyDescent="0.2">
      <c r="A302" s="8"/>
      <c r="B302" s="9"/>
      <c r="C302" s="9"/>
      <c r="D302" s="9"/>
      <c r="E302" s="8"/>
      <c r="F302" s="27"/>
      <c r="G302" s="13"/>
      <c r="H302" s="3"/>
    </row>
    <row r="303" spans="1:8" x14ac:dyDescent="0.2">
      <c r="A303" s="4"/>
      <c r="B303" s="9"/>
      <c r="C303" s="9"/>
      <c r="D303" s="9"/>
      <c r="E303" s="8"/>
      <c r="F303" s="1"/>
      <c r="G303" s="13"/>
      <c r="H303" s="3"/>
    </row>
    <row r="304" spans="1:8" x14ac:dyDescent="0.2">
      <c r="A304" s="4"/>
      <c r="B304" s="9"/>
      <c r="C304" s="9"/>
      <c r="D304" s="9"/>
      <c r="E304" s="8"/>
      <c r="F304" s="1"/>
      <c r="G304" s="13"/>
      <c r="H304" s="3"/>
    </row>
    <row r="305" spans="1:8" x14ac:dyDescent="0.2">
      <c r="A305" s="4"/>
      <c r="B305" s="9"/>
      <c r="C305" s="9"/>
      <c r="D305" s="9"/>
      <c r="E305" s="8"/>
      <c r="F305" s="1"/>
      <c r="G305" s="13"/>
      <c r="H305" s="3"/>
    </row>
    <row r="306" spans="1:8" x14ac:dyDescent="0.2">
      <c r="A306" s="21"/>
      <c r="B306" s="22"/>
      <c r="C306" s="22"/>
      <c r="D306" s="9"/>
      <c r="E306" s="21"/>
      <c r="F306" s="28"/>
      <c r="G306" s="13"/>
      <c r="H306" s="3"/>
    </row>
    <row r="307" spans="1:8" x14ac:dyDescent="0.2">
      <c r="A307" s="21"/>
      <c r="B307" s="22"/>
      <c r="C307" s="22"/>
      <c r="D307" s="9"/>
      <c r="E307" s="21"/>
      <c r="F307" s="28"/>
      <c r="G307" s="13"/>
      <c r="H307" s="3"/>
    </row>
    <row r="308" spans="1:8" x14ac:dyDescent="0.2">
      <c r="A308" s="21"/>
      <c r="B308" s="22"/>
      <c r="C308" s="22"/>
      <c r="D308" s="9"/>
      <c r="E308" s="21"/>
      <c r="F308" s="28"/>
      <c r="G308" s="13"/>
      <c r="H308" s="3"/>
    </row>
    <row r="309" spans="1:8" x14ac:dyDescent="0.2">
      <c r="A309" s="4"/>
      <c r="B309" s="22"/>
      <c r="D309" s="9"/>
      <c r="E309" s="21"/>
      <c r="F309" s="1"/>
      <c r="G309" s="3"/>
      <c r="H309" s="3"/>
    </row>
    <row r="310" spans="1:8" x14ac:dyDescent="0.2">
      <c r="A310" s="4"/>
      <c r="B310" s="22"/>
      <c r="D310" s="9"/>
      <c r="E310" s="21"/>
      <c r="F310" s="1"/>
      <c r="G310" s="3"/>
      <c r="H310" s="3"/>
    </row>
    <row r="311" spans="1:8" x14ac:dyDescent="0.2">
      <c r="A311" s="4"/>
      <c r="G311" s="3"/>
      <c r="H311" s="3"/>
    </row>
  </sheetData>
  <mergeCells count="68">
    <mergeCell ref="X79:AG79"/>
    <mergeCell ref="X80:Y80"/>
    <mergeCell ref="Z80:AA80"/>
    <mergeCell ref="AB80:AC80"/>
    <mergeCell ref="AD80:AE80"/>
    <mergeCell ref="AF80:AG80"/>
    <mergeCell ref="X54:AG54"/>
    <mergeCell ref="X55:Y55"/>
    <mergeCell ref="Z55:AA55"/>
    <mergeCell ref="AB55:AC55"/>
    <mergeCell ref="AD55:AE55"/>
    <mergeCell ref="AF55:AG55"/>
    <mergeCell ref="X29:AG29"/>
    <mergeCell ref="X30:Y30"/>
    <mergeCell ref="Z30:AA30"/>
    <mergeCell ref="AB30:AC30"/>
    <mergeCell ref="AD30:AE30"/>
    <mergeCell ref="AF30:AG30"/>
    <mergeCell ref="X5:Y5"/>
    <mergeCell ref="Z5:AA5"/>
    <mergeCell ref="AB5:AC5"/>
    <mergeCell ref="AD5:AE5"/>
    <mergeCell ref="AF5:AG5"/>
    <mergeCell ref="X4:AG4"/>
    <mergeCell ref="H96:I96"/>
    <mergeCell ref="H81:I81"/>
    <mergeCell ref="B86:C86"/>
    <mergeCell ref="H86:I86"/>
    <mergeCell ref="B91:C91"/>
    <mergeCell ref="H91:I91"/>
    <mergeCell ref="H66:I66"/>
    <mergeCell ref="B71:C71"/>
    <mergeCell ref="H71:I71"/>
    <mergeCell ref="B76:C76"/>
    <mergeCell ref="H76:I76"/>
    <mergeCell ref="H51:I51"/>
    <mergeCell ref="B56:C56"/>
    <mergeCell ref="H56:I56"/>
    <mergeCell ref="B61:C61"/>
    <mergeCell ref="H61:I61"/>
    <mergeCell ref="B295:C295"/>
    <mergeCell ref="B247:C247"/>
    <mergeCell ref="B263:C263"/>
    <mergeCell ref="B26:C26"/>
    <mergeCell ref="B279:C279"/>
    <mergeCell ref="B31:C31"/>
    <mergeCell ref="B36:C36"/>
    <mergeCell ref="B41:C41"/>
    <mergeCell ref="B46:C46"/>
    <mergeCell ref="B51:C51"/>
    <mergeCell ref="B66:C66"/>
    <mergeCell ref="B81:C81"/>
    <mergeCell ref="B96:C96"/>
    <mergeCell ref="H31:I31"/>
    <mergeCell ref="H36:I36"/>
    <mergeCell ref="B1:C1"/>
    <mergeCell ref="B6:C6"/>
    <mergeCell ref="B11:C11"/>
    <mergeCell ref="B16:C16"/>
    <mergeCell ref="B21:C21"/>
    <mergeCell ref="H41:I41"/>
    <mergeCell ref="H46:I46"/>
    <mergeCell ref="H26:I26"/>
    <mergeCell ref="H1:I1"/>
    <mergeCell ref="H6:I6"/>
    <mergeCell ref="H11:I11"/>
    <mergeCell ref="H16:I16"/>
    <mergeCell ref="H21:I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2022-11-01T20:22:00Z</dcterms:modified>
</cp:coreProperties>
</file>