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4/Mouse GI carriage/"/>
    </mc:Choice>
  </mc:AlternateContent>
  <xr:revisionPtr revIDLastSave="0" documentId="13_ncr:1_{ACB53B8D-96E0-4443-A6B2-E40DA31B172D}" xr6:coauthVersionLast="47" xr6:coauthVersionMax="47" xr10:uidLastSave="{00000000-0000-0000-0000-000000000000}"/>
  <bookViews>
    <workbookView xWindow="0" yWindow="500" windowWidth="28800" windowHeight="17500" activeTab="1" xr2:uid="{05D28018-5EC7-B748-ACA7-09DD0AD3B70C}"/>
  </bookViews>
  <sheets>
    <sheet name="inoc" sheetId="8" r:id="rId1"/>
    <sheet name="indiv carriage" sheetId="5" r:id="rId2"/>
    <sheet name="weight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1" i="5" l="1"/>
  <c r="F54" i="5"/>
  <c r="F47" i="5"/>
  <c r="F40" i="5"/>
  <c r="F33" i="5"/>
  <c r="K30" i="9"/>
  <c r="D20" i="9"/>
  <c r="E20" i="9"/>
  <c r="F20" i="9"/>
  <c r="G20" i="9"/>
  <c r="H20" i="9"/>
  <c r="I20" i="9"/>
  <c r="J20" i="9"/>
  <c r="K20" i="9"/>
  <c r="L20" i="9"/>
  <c r="M20" i="9"/>
  <c r="N20" i="9"/>
  <c r="D21" i="9"/>
  <c r="E21" i="9"/>
  <c r="F21" i="9"/>
  <c r="G21" i="9"/>
  <c r="H21" i="9"/>
  <c r="I21" i="9"/>
  <c r="J21" i="9"/>
  <c r="K21" i="9"/>
  <c r="L21" i="9"/>
  <c r="M21" i="9"/>
  <c r="N21" i="9"/>
  <c r="D22" i="9"/>
  <c r="E22" i="9"/>
  <c r="F22" i="9"/>
  <c r="G22" i="9"/>
  <c r="H22" i="9"/>
  <c r="I22" i="9"/>
  <c r="J22" i="9"/>
  <c r="K22" i="9"/>
  <c r="L22" i="9"/>
  <c r="M22" i="9"/>
  <c r="N22" i="9"/>
  <c r="D23" i="9"/>
  <c r="E23" i="9"/>
  <c r="F23" i="9"/>
  <c r="G23" i="9"/>
  <c r="H23" i="9"/>
  <c r="I23" i="9"/>
  <c r="J23" i="9"/>
  <c r="K23" i="9"/>
  <c r="L23" i="9"/>
  <c r="M23" i="9"/>
  <c r="N23" i="9"/>
  <c r="D24" i="9"/>
  <c r="E24" i="9"/>
  <c r="F24" i="9"/>
  <c r="G24" i="9"/>
  <c r="H24" i="9"/>
  <c r="I24" i="9"/>
  <c r="J24" i="9"/>
  <c r="K24" i="9"/>
  <c r="L24" i="9"/>
  <c r="M24" i="9"/>
  <c r="N24" i="9"/>
  <c r="D25" i="9"/>
  <c r="E25" i="9"/>
  <c r="F25" i="9"/>
  <c r="G25" i="9"/>
  <c r="H25" i="9"/>
  <c r="I25" i="9"/>
  <c r="J25" i="9"/>
  <c r="K25" i="9"/>
  <c r="L25" i="9"/>
  <c r="M25" i="9"/>
  <c r="N25" i="9"/>
  <c r="D26" i="9"/>
  <c r="E26" i="9"/>
  <c r="F26" i="9"/>
  <c r="G26" i="9"/>
  <c r="H26" i="9"/>
  <c r="I26" i="9"/>
  <c r="J26" i="9"/>
  <c r="K26" i="9"/>
  <c r="L26" i="9"/>
  <c r="M26" i="9"/>
  <c r="N26" i="9"/>
  <c r="D27" i="9"/>
  <c r="E27" i="9"/>
  <c r="F27" i="9"/>
  <c r="G27" i="9"/>
  <c r="H27" i="9"/>
  <c r="I27" i="9"/>
  <c r="J27" i="9"/>
  <c r="K27" i="9"/>
  <c r="L27" i="9"/>
  <c r="M27" i="9"/>
  <c r="N27" i="9"/>
  <c r="D28" i="9"/>
  <c r="E28" i="9"/>
  <c r="F28" i="9"/>
  <c r="G28" i="9"/>
  <c r="H28" i="9"/>
  <c r="I28" i="9"/>
  <c r="J28" i="9"/>
  <c r="K28" i="9"/>
  <c r="L28" i="9"/>
  <c r="M28" i="9"/>
  <c r="N28" i="9"/>
  <c r="D29" i="9"/>
  <c r="E29" i="9"/>
  <c r="F29" i="9"/>
  <c r="G29" i="9"/>
  <c r="H29" i="9"/>
  <c r="I29" i="9"/>
  <c r="J29" i="9"/>
  <c r="K29" i="9"/>
  <c r="L29" i="9"/>
  <c r="M29" i="9"/>
  <c r="N29" i="9"/>
  <c r="D30" i="9"/>
  <c r="E30" i="9"/>
  <c r="F30" i="9"/>
  <c r="G30" i="9"/>
  <c r="H30" i="9"/>
  <c r="I30" i="9"/>
  <c r="J30" i="9"/>
  <c r="L30" i="9"/>
  <c r="M30" i="9"/>
  <c r="N30" i="9"/>
  <c r="D31" i="9"/>
  <c r="E31" i="9"/>
  <c r="F31" i="9"/>
  <c r="G31" i="9"/>
  <c r="H31" i="9"/>
  <c r="I31" i="9"/>
  <c r="J31" i="9"/>
  <c r="K31" i="9"/>
  <c r="L31" i="9"/>
  <c r="M31" i="9"/>
  <c r="N31" i="9"/>
  <c r="D32" i="9"/>
  <c r="E32" i="9"/>
  <c r="F32" i="9"/>
  <c r="G32" i="9"/>
  <c r="H32" i="9"/>
  <c r="I32" i="9"/>
  <c r="J32" i="9"/>
  <c r="K32" i="9"/>
  <c r="L32" i="9"/>
  <c r="M32" i="9"/>
  <c r="N32" i="9"/>
  <c r="D33" i="9"/>
  <c r="E33" i="9"/>
  <c r="F33" i="9"/>
  <c r="G33" i="9"/>
  <c r="H33" i="9"/>
  <c r="I33" i="9"/>
  <c r="J33" i="9"/>
  <c r="K33" i="9"/>
  <c r="L33" i="9"/>
  <c r="M33" i="9"/>
  <c r="N33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D19" i="9"/>
  <c r="E19" i="9"/>
  <c r="F19" i="9"/>
  <c r="G19" i="9"/>
  <c r="H19" i="9"/>
  <c r="I19" i="9"/>
  <c r="J19" i="9"/>
  <c r="K19" i="9"/>
  <c r="L19" i="9"/>
  <c r="M19" i="9"/>
  <c r="N19" i="9"/>
  <c r="C19" i="9"/>
  <c r="F88" i="5"/>
  <c r="F87" i="5"/>
  <c r="F86" i="5"/>
  <c r="F83" i="5"/>
  <c r="F82" i="5"/>
  <c r="G82" i="5" s="1"/>
  <c r="F81" i="5"/>
  <c r="F78" i="5"/>
  <c r="F77" i="5"/>
  <c r="F76" i="5"/>
  <c r="F73" i="5"/>
  <c r="F72" i="5"/>
  <c r="F71" i="5"/>
  <c r="F68" i="5"/>
  <c r="F67" i="5"/>
  <c r="F66" i="5"/>
  <c r="F60" i="5"/>
  <c r="F59" i="5"/>
  <c r="F58" i="5"/>
  <c r="F57" i="5"/>
  <c r="F53" i="5"/>
  <c r="F52" i="5"/>
  <c r="F51" i="5"/>
  <c r="F50" i="5"/>
  <c r="F46" i="5"/>
  <c r="F45" i="5"/>
  <c r="F44" i="5"/>
  <c r="F43" i="5"/>
  <c r="F39" i="5"/>
  <c r="F38" i="5"/>
  <c r="F37" i="5"/>
  <c r="F36" i="5"/>
  <c r="F32" i="5"/>
  <c r="F31" i="5"/>
  <c r="F30" i="5"/>
  <c r="F29" i="5"/>
  <c r="F24" i="5"/>
  <c r="F23" i="5"/>
  <c r="F22" i="5"/>
  <c r="F19" i="5"/>
  <c r="F18" i="5"/>
  <c r="F17" i="5"/>
  <c r="F14" i="5"/>
  <c r="F13" i="5"/>
  <c r="F12" i="5"/>
  <c r="F9" i="5"/>
  <c r="F8" i="5"/>
  <c r="F7" i="5"/>
  <c r="F4" i="5"/>
  <c r="F3" i="5"/>
  <c r="F2" i="5"/>
  <c r="D88" i="5"/>
  <c r="G88" i="5" s="1"/>
  <c r="D87" i="5"/>
  <c r="G87" i="5" s="1"/>
  <c r="D86" i="5"/>
  <c r="G86" i="5" s="1"/>
  <c r="D83" i="5"/>
  <c r="G83" i="5" s="1"/>
  <c r="D82" i="5"/>
  <c r="D81" i="5"/>
  <c r="G81" i="5" s="1"/>
  <c r="D78" i="5"/>
  <c r="G78" i="5" s="1"/>
  <c r="D77" i="5"/>
  <c r="G77" i="5" s="1"/>
  <c r="D76" i="5"/>
  <c r="G76" i="5" s="1"/>
  <c r="D73" i="5"/>
  <c r="G73" i="5" s="1"/>
  <c r="D72" i="5"/>
  <c r="G72" i="5" s="1"/>
  <c r="D71" i="5"/>
  <c r="G71" i="5" s="1"/>
  <c r="D68" i="5"/>
  <c r="G68" i="5" s="1"/>
  <c r="D67" i="5"/>
  <c r="G67" i="5" s="1"/>
  <c r="D66" i="5"/>
  <c r="G66" i="5" s="1"/>
  <c r="D61" i="5"/>
  <c r="G61" i="5" s="1"/>
  <c r="D60" i="5"/>
  <c r="G60" i="5" s="1"/>
  <c r="D59" i="5"/>
  <c r="G59" i="5" s="1"/>
  <c r="D58" i="5"/>
  <c r="G58" i="5" s="1"/>
  <c r="D57" i="5"/>
  <c r="G57" i="5" s="1"/>
  <c r="D54" i="5"/>
  <c r="G54" i="5" s="1"/>
  <c r="D53" i="5"/>
  <c r="G53" i="5" s="1"/>
  <c r="D52" i="5"/>
  <c r="G52" i="5" s="1"/>
  <c r="D51" i="5"/>
  <c r="G51" i="5" s="1"/>
  <c r="D50" i="5"/>
  <c r="G50" i="5" s="1"/>
  <c r="D47" i="5"/>
  <c r="G47" i="5" s="1"/>
  <c r="D46" i="5"/>
  <c r="G46" i="5" s="1"/>
  <c r="D45" i="5"/>
  <c r="G45" i="5" s="1"/>
  <c r="D44" i="5"/>
  <c r="G44" i="5" s="1"/>
  <c r="D43" i="5"/>
  <c r="G43" i="5" s="1"/>
  <c r="D40" i="5"/>
  <c r="G40" i="5" s="1"/>
  <c r="D39" i="5"/>
  <c r="G39" i="5" s="1"/>
  <c r="D38" i="5"/>
  <c r="G38" i="5" s="1"/>
  <c r="D37" i="5"/>
  <c r="G37" i="5" s="1"/>
  <c r="D36" i="5"/>
  <c r="G36" i="5" s="1"/>
  <c r="D33" i="5"/>
  <c r="G33" i="5" s="1"/>
  <c r="D32" i="5"/>
  <c r="G32" i="5" s="1"/>
  <c r="D31" i="5"/>
  <c r="G31" i="5" s="1"/>
  <c r="D30" i="5"/>
  <c r="D29" i="5"/>
  <c r="G29" i="5" s="1"/>
  <c r="D24" i="5"/>
  <c r="G24" i="5" s="1"/>
  <c r="G23" i="5"/>
  <c r="D23" i="5"/>
  <c r="D22" i="5"/>
  <c r="G22" i="5" s="1"/>
  <c r="D19" i="5"/>
  <c r="G19" i="5" s="1"/>
  <c r="D18" i="5"/>
  <c r="G18" i="5" s="1"/>
  <c r="D17" i="5"/>
  <c r="G17" i="5" s="1"/>
  <c r="D14" i="5"/>
  <c r="D13" i="5"/>
  <c r="G13" i="5" s="1"/>
  <c r="D12" i="5"/>
  <c r="G12" i="5" s="1"/>
  <c r="D9" i="5"/>
  <c r="G9" i="5" s="1"/>
  <c r="D8" i="5"/>
  <c r="D7" i="5"/>
  <c r="G7" i="5" s="1"/>
  <c r="D4" i="5"/>
  <c r="E3" i="8"/>
  <c r="E2" i="8"/>
  <c r="F2" i="8" s="1"/>
  <c r="G2" i="8" s="1"/>
  <c r="G30" i="5" l="1"/>
  <c r="G14" i="5"/>
  <c r="G8" i="5"/>
  <c r="G4" i="5"/>
  <c r="D3" i="5"/>
  <c r="G3" i="5" s="1"/>
  <c r="D2" i="5"/>
  <c r="G2" i="5" l="1"/>
</calcChain>
</file>

<file path=xl/sharedStrings.xml><?xml version="1.0" encoding="utf-8"?>
<sst xmlns="http://schemas.openxmlformats.org/spreadsheetml/2006/main" count="212" uniqueCount="64">
  <si>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</si>
  <si>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</si>
  <si>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</si>
  <si>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</si>
  <si>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</si>
  <si>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</si>
  <si>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</si>
  <si>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</si>
  <si>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</si>
  <si>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</si>
  <si>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</si>
  <si>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</si>
  <si>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</si>
  <si>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</si>
  <si>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</si>
  <si>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OD600 reached</t>
  </si>
  <si>
    <t>BL048 - LBirg5 plates</t>
  </si>
  <si>
    <t>10 x 0.118</t>
  </si>
  <si>
    <r>
      <t>PBS + PA mouse 1 - 10^7.2</t>
    </r>
    <r>
      <rPr>
        <b/>
        <sz val="11"/>
        <color theme="1"/>
        <rFont val="Calibri (Body)"/>
      </rPr>
      <t xml:space="preserve"> BL048</t>
    </r>
  </si>
  <si>
    <r>
      <t>PBS + PA mouse 2 - 10^7.2</t>
    </r>
    <r>
      <rPr>
        <b/>
        <sz val="11"/>
        <color theme="1"/>
        <rFont val="Calibri (Body)"/>
      </rPr>
      <t xml:space="preserve"> BL048</t>
    </r>
  </si>
  <si>
    <r>
      <t>PBS + PA mouse 3 - 10^7.2</t>
    </r>
    <r>
      <rPr>
        <b/>
        <sz val="11"/>
        <color theme="1"/>
        <rFont val="Calibri (Body)"/>
      </rPr>
      <t xml:space="preserve"> BL048</t>
    </r>
  </si>
  <si>
    <r>
      <t>PBS + PA mouse 4 - 10^7.2</t>
    </r>
    <r>
      <rPr>
        <b/>
        <sz val="11"/>
        <color theme="1"/>
        <rFont val="Calibri (Body)"/>
      </rPr>
      <t xml:space="preserve"> BL048</t>
    </r>
  </si>
  <si>
    <r>
      <t>PBS + PA mouse 5 - 10^7.2</t>
    </r>
    <r>
      <rPr>
        <b/>
        <sz val="11"/>
        <color theme="1"/>
        <rFont val="Calibri (Body)"/>
      </rPr>
      <t xml:space="preserve"> BL048</t>
    </r>
  </si>
  <si>
    <r>
      <t>vanco + PA mouse 1 - 10^7.2</t>
    </r>
    <r>
      <rPr>
        <b/>
        <sz val="11"/>
        <color theme="1"/>
        <rFont val="Calibri (Body)"/>
      </rPr>
      <t xml:space="preserve"> BL048</t>
    </r>
  </si>
  <si>
    <r>
      <t>vanco + PA mouse 2 - 10^7.2</t>
    </r>
    <r>
      <rPr>
        <b/>
        <sz val="11"/>
        <color theme="1"/>
        <rFont val="Calibri (Body)"/>
      </rPr>
      <t xml:space="preserve"> BL048</t>
    </r>
  </si>
  <si>
    <r>
      <t>vanco + PA mouse 3 - 10^7.2</t>
    </r>
    <r>
      <rPr>
        <b/>
        <sz val="11"/>
        <color theme="1"/>
        <rFont val="Calibri (Body)"/>
      </rPr>
      <t xml:space="preserve"> BL048</t>
    </r>
  </si>
  <si>
    <r>
      <t>vanco + PA mouse 4 - 10^7.2</t>
    </r>
    <r>
      <rPr>
        <b/>
        <sz val="11"/>
        <color theme="1"/>
        <rFont val="Calibri (Body)"/>
      </rPr>
      <t xml:space="preserve"> BL048</t>
    </r>
  </si>
  <si>
    <r>
      <t>vanco + PA mouse 5 - 10^7.2</t>
    </r>
    <r>
      <rPr>
        <b/>
        <sz val="11"/>
        <color theme="1"/>
        <rFont val="Calibri (Body)"/>
      </rPr>
      <t xml:space="preserve"> BL048</t>
    </r>
  </si>
  <si>
    <r>
      <t>PBS + Mock mouse 1 - 10^7.2</t>
    </r>
    <r>
      <rPr>
        <b/>
        <sz val="11"/>
        <color theme="1"/>
        <rFont val="Calibri (Body)"/>
      </rPr>
      <t xml:space="preserve"> BL048</t>
    </r>
  </si>
  <si>
    <r>
      <t>PBS + Mock mouse 2 - 10^7.2</t>
    </r>
    <r>
      <rPr>
        <b/>
        <sz val="11"/>
        <color theme="1"/>
        <rFont val="Calibri (Body)"/>
      </rPr>
      <t xml:space="preserve"> BL048</t>
    </r>
  </si>
  <si>
    <r>
      <t>PBS + Mock mouse 3 - 10^7.2</t>
    </r>
    <r>
      <rPr>
        <b/>
        <sz val="11"/>
        <color theme="1"/>
        <rFont val="Calibri (Body)"/>
      </rPr>
      <t xml:space="preserve"> BL048</t>
    </r>
  </si>
  <si>
    <r>
      <t>PBS + Mock mouse 4 - 10^7.2</t>
    </r>
    <r>
      <rPr>
        <b/>
        <sz val="11"/>
        <color theme="1"/>
        <rFont val="Calibri (Body)"/>
      </rPr>
      <t xml:space="preserve"> BL048</t>
    </r>
  </si>
  <si>
    <r>
      <t>PBS + Mock mouse 5 - 10^7.2</t>
    </r>
    <r>
      <rPr>
        <b/>
        <sz val="11"/>
        <color theme="1"/>
        <rFont val="Calibri (Body)"/>
      </rPr>
      <t xml:space="preserve"> BL048</t>
    </r>
  </si>
  <si>
    <t>Weight</t>
  </si>
  <si>
    <t>D-4</t>
  </si>
  <si>
    <t>D-3</t>
  </si>
  <si>
    <t>D-2</t>
  </si>
  <si>
    <t>D-1</t>
  </si>
  <si>
    <t>D0</t>
  </si>
  <si>
    <t>D1</t>
  </si>
  <si>
    <t>D2</t>
  </si>
  <si>
    <t>D3</t>
  </si>
  <si>
    <t>D5</t>
  </si>
  <si>
    <t>D7</t>
  </si>
  <si>
    <t>D10</t>
  </si>
  <si>
    <t>D14</t>
  </si>
  <si>
    <t>PBS + PA 1</t>
  </si>
  <si>
    <t>PBS + PA 2</t>
  </si>
  <si>
    <t>PBS + PA 3</t>
  </si>
  <si>
    <t>PBS + PA 4</t>
  </si>
  <si>
    <t>PBS + PA 5</t>
  </si>
  <si>
    <t>Vanco + PA 1</t>
  </si>
  <si>
    <t>Vanco + PA 2</t>
  </si>
  <si>
    <t>Vanco + PA 3</t>
  </si>
  <si>
    <t>Vanco + PA 4</t>
  </si>
  <si>
    <t>Vanco + PA 5</t>
  </si>
  <si>
    <t>Vanco + Mock 1</t>
  </si>
  <si>
    <t>Vanco + Mock 2</t>
  </si>
  <si>
    <t>Vanco + Mock 3</t>
  </si>
  <si>
    <t>Vanco + Mock 4</t>
  </si>
  <si>
    <t>Vanco + Mock 5</t>
  </si>
  <si>
    <t>D12</t>
  </si>
  <si>
    <t xml:space="preserve">%weight change 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</si>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</sst>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 (Body)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3" borderId="0" xfId="0" applyFill="1"/>
    <xf numFmtId="164" fontId="0" fillId="3" borderId="0" xfId="0" applyNumberFormat="1" applyFill="1"/>
    <xf numFmtId="0" fontId="2" fillId="0" borderId="0" xfId="0" applyFont="1" applyAlignment="1">
      <alignment horizontal="center" vertical="center" wrapText="1"/>
    </xf>
    <xf numFmtId="0" fontId="0" fillId="0" borderId="3" xfId="0" applyBorder="1"/>
    <xf numFmtId="11" fontId="0" fillId="0" borderId="4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9" xfId="0" applyNumberFormat="1" applyBorder="1" applyAlignment="1">
      <alignment horizontal="center" vertical="center"/>
    </xf>
    <xf numFmtId="0" fontId="0" fillId="0" borderId="8" xfId="0" applyBorder="1"/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1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2" fontId="0" fillId="0" borderId="13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0" xfId="0" applyNumberFormat="1" applyAlignment="1">
      <alignment horizontal="center"/>
    </xf>
    <xf numFmtId="2" fontId="0" fillId="0" borderId="16" xfId="0" applyNumberFormat="1" applyBorder="1"/>
    <xf numFmtId="2" fontId="0" fillId="0" borderId="18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5" xfId="0" applyNumberFormat="1" applyBorder="1" applyAlignment="1">
      <alignment horizontal="center" vertical="center"/>
    </xf>
    <xf numFmtId="11" fontId="0" fillId="0" borderId="11" xfId="0" applyNumberFormat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B4FC5-8FB2-8E4B-A47D-4D2B1A3866D4}">
  <dimension ref="B1:I3"/>
  <sheetViews>
    <sheetView workbookViewId="0">
      <selection activeCell="G12" sqref="G12"/>
    </sheetView>
  </sheetViews>
  <sheetFormatPr baseColWidth="10" defaultRowHeight="16" x14ac:dyDescent="0.2"/>
  <cols>
    <col min="5" max="5" width="11.1640625" customWidth="1"/>
  </cols>
  <sheetData>
    <row r="1" spans="2:9" ht="29" thickBot="1" x14ac:dyDescent="0.25">
      <c r="B1" s="1"/>
      <c r="C1" s="14" t="s">
        <v>5</v>
      </c>
      <c r="D1" s="14" t="s">
        <v>6</v>
      </c>
      <c r="E1" s="14" t="s">
        <v>10</v>
      </c>
      <c r="F1" s="14" t="s">
        <v>7</v>
      </c>
      <c r="G1" s="14" t="s">
        <v>8</v>
      </c>
      <c r="H1" s="14"/>
      <c r="I1" s="14" t="s">
        <v>15</v>
      </c>
    </row>
    <row r="2" spans="2:9" x14ac:dyDescent="0.2">
      <c r="B2" s="38" t="s">
        <v>16</v>
      </c>
      <c r="C2" s="15">
        <v>28</v>
      </c>
      <c r="D2" s="16">
        <v>100000</v>
      </c>
      <c r="E2" s="17">
        <f t="shared" ref="E2:E3" si="0">C2*5*D2</f>
        <v>14000000</v>
      </c>
      <c r="F2" s="40">
        <f>AVERAGE(E2:E3)</f>
        <v>14750000</v>
      </c>
      <c r="G2" s="42">
        <f>LOG10(F2)</f>
        <v>7.1687920203141822</v>
      </c>
      <c r="I2" s="44" t="s">
        <v>17</v>
      </c>
    </row>
    <row r="3" spans="2:9" ht="17" thickBot="1" x14ac:dyDescent="0.25">
      <c r="B3" s="39"/>
      <c r="C3" s="19">
        <v>31</v>
      </c>
      <c r="D3" s="18">
        <v>100000</v>
      </c>
      <c r="E3" s="18">
        <f t="shared" si="0"/>
        <v>15500000</v>
      </c>
      <c r="F3" s="41"/>
      <c r="G3" s="43"/>
      <c r="I3" s="44"/>
    </row>
  </sheetData>
  <mergeCells count="4">
    <mergeCell ref="B2:B3"/>
    <mergeCell ref="F2:F3"/>
    <mergeCell ref="G2:G3"/>
    <mergeCell ref="I2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H88"/>
  <sheetViews>
    <sheetView tabSelected="1" topLeftCell="A47" zoomScale="116" zoomScaleNormal="100" workbookViewId="0">
      <selection activeCell="F62" sqref="F62"/>
    </sheetView>
  </sheetViews>
  <sheetFormatPr baseColWidth="10" defaultRowHeight="16" x14ac:dyDescent="0.2"/>
  <cols>
    <col min="1" max="1" width="18.33203125" customWidth="1"/>
  </cols>
  <sheetData>
    <row r="1" spans="1:8" ht="51" x14ac:dyDescent="0.2">
      <c r="A1" s="2" t="s">
        <v>18</v>
      </c>
      <c r="B1" s="45" t="s">
        <v>0</v>
      </c>
      <c r="C1" s="45"/>
      <c r="D1" s="6" t="s">
        <v>1</v>
      </c>
      <c r="E1" s="6" t="s">
        <v>4</v>
      </c>
      <c r="F1" s="6" t="s">
        <v>2</v>
      </c>
      <c r="G1" s="7" t="s">
        <v>3</v>
      </c>
      <c r="H1" s="7"/>
    </row>
    <row r="2" spans="1:8" x14ac:dyDescent="0.2">
      <c r="A2" s="4" t="s">
        <v>11</v>
      </c>
      <c r="B2">
        <v>0</v>
      </c>
      <c r="C2">
        <v>0</v>
      </c>
      <c r="D2">
        <f>AVERAGE(B2:C2)</f>
        <v>0</v>
      </c>
      <c r="E2" s="4">
        <v>1</v>
      </c>
      <c r="F2" s="4">
        <f>1891.6-1836.5</f>
        <v>55.099999999999909</v>
      </c>
      <c r="G2" s="8" t="e">
        <f>LOG10(D2*100*E2/F2*1000)</f>
        <v>#NUM!</v>
      </c>
      <c r="H2" s="8"/>
    </row>
    <row r="3" spans="1:8" x14ac:dyDescent="0.2">
      <c r="A3" s="4" t="s">
        <v>12</v>
      </c>
      <c r="B3">
        <v>0</v>
      </c>
      <c r="C3">
        <v>0</v>
      </c>
      <c r="D3">
        <f t="shared" ref="D3:D4" si="0">AVERAGE(B3:C3)</f>
        <v>0</v>
      </c>
      <c r="E3" s="4">
        <v>1</v>
      </c>
      <c r="F3" s="4">
        <f>2023.5-1930.4</f>
        <v>93.099999999999909</v>
      </c>
      <c r="G3" s="8" t="e">
        <f>LOG10(D3*100*E3/F3*1000)</f>
        <v>#NUM!</v>
      </c>
      <c r="H3" s="8"/>
    </row>
    <row r="4" spans="1:8" x14ac:dyDescent="0.2">
      <c r="A4" s="4" t="s">
        <v>9</v>
      </c>
      <c r="B4">
        <v>0</v>
      </c>
      <c r="C4">
        <v>0</v>
      </c>
      <c r="D4">
        <f t="shared" si="0"/>
        <v>0</v>
      </c>
      <c r="E4" s="4">
        <v>1</v>
      </c>
      <c r="F4" s="4">
        <f>1853.6-1790.8</f>
        <v>62.799999999999955</v>
      </c>
      <c r="G4" s="8" t="e">
        <f t="shared" ref="G4" si="1">LOG10(D4*100*E4/F4*1000)</f>
        <v>#NUM!</v>
      </c>
      <c r="H4" s="8"/>
    </row>
    <row r="5" spans="1:8" x14ac:dyDescent="0.2">
      <c r="A5" s="4"/>
      <c r="E5" s="4"/>
      <c r="F5" s="4"/>
      <c r="G5" s="8"/>
      <c r="H5" s="5"/>
    </row>
    <row r="6" spans="1:8" ht="51" x14ac:dyDescent="0.2">
      <c r="A6" s="2" t="s">
        <v>19</v>
      </c>
      <c r="B6" s="45" t="s">
        <v>0</v>
      </c>
      <c r="C6" s="45"/>
      <c r="D6" s="6" t="s">
        <v>1</v>
      </c>
      <c r="E6" s="6" t="s">
        <v>4</v>
      </c>
      <c r="F6" s="6" t="s">
        <v>2</v>
      </c>
      <c r="G6" s="7" t="s">
        <v>3</v>
      </c>
      <c r="H6" s="5"/>
    </row>
    <row r="7" spans="1:8" x14ac:dyDescent="0.2">
      <c r="A7" s="4" t="s">
        <v>11</v>
      </c>
      <c r="B7">
        <v>1</v>
      </c>
      <c r="C7">
        <v>4</v>
      </c>
      <c r="D7">
        <f>AVERAGE(B7:C7)</f>
        <v>2.5</v>
      </c>
      <c r="E7" s="4">
        <v>1</v>
      </c>
      <c r="F7" s="4">
        <f>1796.1-1727.7</f>
        <v>68.399999999999864</v>
      </c>
      <c r="G7" s="8">
        <f>LOG10(D7*100*E7/F7*1000)</f>
        <v>3.5628839069519223</v>
      </c>
      <c r="H7" s="5"/>
    </row>
    <row r="8" spans="1:8" x14ac:dyDescent="0.2">
      <c r="A8" s="4" t="s">
        <v>12</v>
      </c>
      <c r="B8">
        <v>0</v>
      </c>
      <c r="C8">
        <v>0</v>
      </c>
      <c r="D8">
        <f t="shared" ref="D8:D9" si="2">AVERAGE(B8:C8)</f>
        <v>0</v>
      </c>
      <c r="E8" s="4">
        <v>1</v>
      </c>
      <c r="F8" s="4">
        <f>1857.2-1775.9</f>
        <v>81.299999999999955</v>
      </c>
      <c r="G8" s="8" t="e">
        <f>LOG10(D8*100*E8/F8*1000)</f>
        <v>#NUM!</v>
      </c>
      <c r="H8" s="5"/>
    </row>
    <row r="9" spans="1:8" x14ac:dyDescent="0.2">
      <c r="A9" s="4" t="s">
        <v>9</v>
      </c>
      <c r="B9">
        <v>0</v>
      </c>
      <c r="C9">
        <v>0</v>
      </c>
      <c r="D9">
        <f t="shared" si="2"/>
        <v>0</v>
      </c>
      <c r="E9" s="4">
        <v>1</v>
      </c>
      <c r="F9" s="4">
        <f>1853.9-1787.5</f>
        <v>66.400000000000091</v>
      </c>
      <c r="G9" s="8" t="e">
        <f t="shared" ref="G9" si="3">LOG10(D9*100*E9/F9*1000)</f>
        <v>#NUM!</v>
      </c>
      <c r="H9" s="5"/>
    </row>
    <row r="10" spans="1:8" x14ac:dyDescent="0.2">
      <c r="A10" s="4"/>
      <c r="E10" s="4"/>
      <c r="F10" s="4"/>
      <c r="G10" s="8"/>
      <c r="H10" s="5"/>
    </row>
    <row r="11" spans="1:8" ht="51" x14ac:dyDescent="0.2">
      <c r="A11" s="2" t="s">
        <v>20</v>
      </c>
      <c r="B11" s="45" t="s">
        <v>0</v>
      </c>
      <c r="C11" s="45"/>
      <c r="D11" s="6" t="s">
        <v>1</v>
      </c>
      <c r="E11" s="6" t="s">
        <v>4</v>
      </c>
      <c r="F11" s="6" t="s">
        <v>2</v>
      </c>
      <c r="G11" s="7" t="s">
        <v>3</v>
      </c>
      <c r="H11" s="5"/>
    </row>
    <row r="12" spans="1:8" x14ac:dyDescent="0.2">
      <c r="A12" s="4" t="s">
        <v>11</v>
      </c>
      <c r="B12">
        <v>0</v>
      </c>
      <c r="C12">
        <v>0</v>
      </c>
      <c r="D12">
        <f>AVERAGE(B12:C12)</f>
        <v>0</v>
      </c>
      <c r="E12" s="4">
        <v>1</v>
      </c>
      <c r="F12" s="4">
        <f>1816-1779.9</f>
        <v>36.099999999999909</v>
      </c>
      <c r="G12" s="8" t="e">
        <f>LOG10(D12*100*E12/F12*1000)</f>
        <v>#NUM!</v>
      </c>
      <c r="H12" s="5"/>
    </row>
    <row r="13" spans="1:8" x14ac:dyDescent="0.2">
      <c r="A13" s="4" t="s">
        <v>12</v>
      </c>
      <c r="B13">
        <v>0</v>
      </c>
      <c r="C13">
        <v>0</v>
      </c>
      <c r="D13">
        <f t="shared" ref="D13:D14" si="4">AVERAGE(B13:C13)</f>
        <v>0</v>
      </c>
      <c r="E13" s="4">
        <v>1</v>
      </c>
      <c r="F13" s="4">
        <f>1916-1853.9</f>
        <v>62.099999999999909</v>
      </c>
      <c r="G13" s="8" t="e">
        <f>LOG10(D13*100*E13/F13*1000)</f>
        <v>#NUM!</v>
      </c>
      <c r="H13" s="5"/>
    </row>
    <row r="14" spans="1:8" x14ac:dyDescent="0.2">
      <c r="A14" s="4" t="s">
        <v>9</v>
      </c>
      <c r="B14">
        <v>0</v>
      </c>
      <c r="C14">
        <v>0</v>
      </c>
      <c r="D14">
        <f t="shared" si="4"/>
        <v>0</v>
      </c>
      <c r="E14" s="4">
        <v>1</v>
      </c>
      <c r="F14" s="4">
        <f>1812.4-1768</f>
        <v>44.400000000000091</v>
      </c>
      <c r="G14" s="8" t="e">
        <f t="shared" ref="G14" si="5">LOG10(D14*100*E14/F14*1000)</f>
        <v>#NUM!</v>
      </c>
      <c r="H14" s="5"/>
    </row>
    <row r="15" spans="1:8" x14ac:dyDescent="0.2">
      <c r="A15" s="9"/>
      <c r="B15" s="10"/>
      <c r="C15" s="10"/>
      <c r="E15" s="9"/>
      <c r="F15" s="9"/>
      <c r="G15" s="8"/>
      <c r="H15" s="5"/>
    </row>
    <row r="16" spans="1:8" ht="51" x14ac:dyDescent="0.2">
      <c r="A16" s="2" t="s">
        <v>21</v>
      </c>
      <c r="B16" s="45" t="s">
        <v>0</v>
      </c>
      <c r="C16" s="45"/>
      <c r="D16" s="6" t="s">
        <v>1</v>
      </c>
      <c r="E16" s="6" t="s">
        <v>4</v>
      </c>
      <c r="F16" s="6" t="s">
        <v>2</v>
      </c>
      <c r="G16" s="7" t="s">
        <v>3</v>
      </c>
      <c r="H16" s="5"/>
    </row>
    <row r="17" spans="1:8" x14ac:dyDescent="0.2">
      <c r="A17" s="4" t="s">
        <v>11</v>
      </c>
      <c r="B17">
        <v>0</v>
      </c>
      <c r="C17">
        <v>0</v>
      </c>
      <c r="D17">
        <f>AVERAGE(B17:C17)</f>
        <v>0</v>
      </c>
      <c r="E17" s="4">
        <v>1</v>
      </c>
      <c r="F17" s="4">
        <f>1915.5-1836.8</f>
        <v>78.700000000000045</v>
      </c>
      <c r="G17" s="8" t="e">
        <f>LOG10(D17*100*E17/F17*1000)</f>
        <v>#NUM!</v>
      </c>
      <c r="H17" s="5"/>
    </row>
    <row r="18" spans="1:8" x14ac:dyDescent="0.2">
      <c r="A18" s="4" t="s">
        <v>12</v>
      </c>
      <c r="B18">
        <v>0</v>
      </c>
      <c r="C18">
        <v>0</v>
      </c>
      <c r="D18">
        <f t="shared" ref="D18:D19" si="6">AVERAGE(B18:C18)</f>
        <v>0</v>
      </c>
      <c r="E18" s="4">
        <v>1</v>
      </c>
      <c r="F18" s="4">
        <f>1816.4-1753</f>
        <v>63.400000000000091</v>
      </c>
      <c r="G18" s="8" t="e">
        <f>LOG10(D18*100*E18/F18*1000)</f>
        <v>#NUM!</v>
      </c>
      <c r="H18" s="5"/>
    </row>
    <row r="19" spans="1:8" x14ac:dyDescent="0.2">
      <c r="A19" s="4" t="s">
        <v>9</v>
      </c>
      <c r="B19">
        <v>0</v>
      </c>
      <c r="C19">
        <v>0</v>
      </c>
      <c r="D19">
        <f t="shared" si="6"/>
        <v>0</v>
      </c>
      <c r="E19" s="4">
        <v>1</v>
      </c>
      <c r="F19" s="4">
        <f>1832.5-1795.1</f>
        <v>37.400000000000091</v>
      </c>
      <c r="G19" s="8" t="e">
        <f t="shared" ref="G19" si="7">LOG10(D19*100*E19/F19*1000)</f>
        <v>#NUM!</v>
      </c>
      <c r="H19" s="5"/>
    </row>
    <row r="20" spans="1:8" x14ac:dyDescent="0.2">
      <c r="A20" s="4"/>
      <c r="E20" s="4"/>
      <c r="F20" s="4"/>
      <c r="G20" s="8"/>
      <c r="H20" s="5"/>
    </row>
    <row r="21" spans="1:8" ht="51" x14ac:dyDescent="0.2">
      <c r="A21" s="2" t="s">
        <v>22</v>
      </c>
      <c r="B21" s="45" t="s">
        <v>0</v>
      </c>
      <c r="C21" s="45"/>
      <c r="D21" s="6" t="s">
        <v>1</v>
      </c>
      <c r="E21" s="6" t="s">
        <v>4</v>
      </c>
      <c r="F21" s="6" t="s">
        <v>2</v>
      </c>
      <c r="G21" s="7" t="s">
        <v>3</v>
      </c>
      <c r="H21" s="5"/>
    </row>
    <row r="22" spans="1:8" x14ac:dyDescent="0.2">
      <c r="A22" s="4" t="s">
        <v>11</v>
      </c>
      <c r="B22">
        <v>0</v>
      </c>
      <c r="C22">
        <v>0</v>
      </c>
      <c r="D22">
        <f>AVERAGE(B22:C22)</f>
        <v>0</v>
      </c>
      <c r="E22" s="4">
        <v>1</v>
      </c>
      <c r="F22" s="4">
        <f>1878.9-1787.1</f>
        <v>91.800000000000182</v>
      </c>
      <c r="G22" s="8" t="e">
        <f>LOG10(D22*100*E22/F22*1000)</f>
        <v>#NUM!</v>
      </c>
      <c r="H22" s="5"/>
    </row>
    <row r="23" spans="1:8" x14ac:dyDescent="0.2">
      <c r="A23" s="4" t="s">
        <v>12</v>
      </c>
      <c r="B23">
        <v>0</v>
      </c>
      <c r="C23">
        <v>0</v>
      </c>
      <c r="D23">
        <f t="shared" ref="D23:D24" si="8">AVERAGE(B23:C23)</f>
        <v>0</v>
      </c>
      <c r="E23" s="4">
        <v>1</v>
      </c>
      <c r="F23" s="4">
        <f>1793-1680.3</f>
        <v>112.70000000000005</v>
      </c>
      <c r="G23" s="8" t="e">
        <f>LOG10(D23*100*E23/F23*1000)</f>
        <v>#NUM!</v>
      </c>
      <c r="H23" s="3"/>
    </row>
    <row r="24" spans="1:8" x14ac:dyDescent="0.2">
      <c r="A24" s="4" t="s">
        <v>9</v>
      </c>
      <c r="B24">
        <v>0</v>
      </c>
      <c r="C24">
        <v>0</v>
      </c>
      <c r="D24">
        <f t="shared" si="8"/>
        <v>0</v>
      </c>
      <c r="E24" s="4">
        <v>1</v>
      </c>
      <c r="F24" s="4">
        <f>1902.4-1849.9</f>
        <v>52.5</v>
      </c>
      <c r="G24" s="8" t="e">
        <f t="shared" ref="G24" si="9">LOG10(D24*100*E24/F24*1000)</f>
        <v>#NUM!</v>
      </c>
      <c r="H24" s="3"/>
    </row>
    <row r="25" spans="1:8" x14ac:dyDescent="0.2">
      <c r="A25" s="4"/>
      <c r="E25" s="4"/>
      <c r="F25" s="4"/>
      <c r="G25" s="8"/>
      <c r="H25" s="3"/>
    </row>
    <row r="26" spans="1:8" s="12" customFormat="1" x14ac:dyDescent="0.2">
      <c r="A26" s="20"/>
      <c r="E26" s="20"/>
      <c r="F26" s="20"/>
      <c r="G26" s="13"/>
    </row>
    <row r="27" spans="1:8" x14ac:dyDescent="0.2">
      <c r="A27" s="4"/>
      <c r="E27" s="4"/>
      <c r="F27" s="4"/>
      <c r="G27" s="8"/>
      <c r="H27" s="6"/>
    </row>
    <row r="28" spans="1:8" ht="51" x14ac:dyDescent="0.2">
      <c r="A28" s="2" t="s">
        <v>23</v>
      </c>
      <c r="B28" s="45" t="s">
        <v>0</v>
      </c>
      <c r="C28" s="45"/>
      <c r="D28" s="6" t="s">
        <v>1</v>
      </c>
      <c r="E28" s="6" t="s">
        <v>4</v>
      </c>
      <c r="F28" s="6" t="s">
        <v>2</v>
      </c>
      <c r="G28" s="7" t="s">
        <v>3</v>
      </c>
      <c r="H28" s="3"/>
    </row>
    <row r="29" spans="1:8" x14ac:dyDescent="0.2">
      <c r="A29" s="4" t="s">
        <v>11</v>
      </c>
      <c r="B29">
        <v>56</v>
      </c>
      <c r="C29">
        <v>70</v>
      </c>
      <c r="D29">
        <f>AVERAGE(B29:C29)</f>
        <v>63</v>
      </c>
      <c r="E29" s="4">
        <v>1000</v>
      </c>
      <c r="F29" s="4">
        <f>1708.3-1677</f>
        <v>31.299999999999955</v>
      </c>
      <c r="G29" s="8">
        <f>LOG10(D29*100*E29/F29*1000)</f>
        <v>8.3037962119071338</v>
      </c>
      <c r="H29" s="3"/>
    </row>
    <row r="30" spans="1:8" x14ac:dyDescent="0.2">
      <c r="A30" s="4" t="s">
        <v>12</v>
      </c>
      <c r="B30">
        <v>22</v>
      </c>
      <c r="C30">
        <v>21</v>
      </c>
      <c r="D30">
        <f t="shared" ref="D30:D31" si="10">AVERAGE(B30:C30)</f>
        <v>21.5</v>
      </c>
      <c r="E30" s="4">
        <v>10000</v>
      </c>
      <c r="F30" s="4">
        <f>1736.8-1691.2</f>
        <v>45.599999999999909</v>
      </c>
      <c r="G30" s="8">
        <f>LOG10(D30*100*E30/F30*1000)</f>
        <v>8.6734736172511706</v>
      </c>
      <c r="H30" s="3"/>
    </row>
    <row r="31" spans="1:8" x14ac:dyDescent="0.2">
      <c r="A31" s="4" t="s">
        <v>9</v>
      </c>
      <c r="B31">
        <v>71</v>
      </c>
      <c r="C31">
        <v>63</v>
      </c>
      <c r="D31">
        <f t="shared" si="10"/>
        <v>67</v>
      </c>
      <c r="E31" s="4">
        <v>10000</v>
      </c>
      <c r="F31" s="4">
        <f>1872-1786.1</f>
        <v>85.900000000000091</v>
      </c>
      <c r="G31" s="8">
        <f t="shared" ref="G31" si="11">LOG10(D31*100*E31/F31*1000)</f>
        <v>8.892081638869584</v>
      </c>
      <c r="H31" s="3"/>
    </row>
    <row r="32" spans="1:8" x14ac:dyDescent="0.2">
      <c r="A32" s="4" t="s">
        <v>14</v>
      </c>
      <c r="B32">
        <v>45</v>
      </c>
      <c r="C32">
        <v>28</v>
      </c>
      <c r="D32">
        <f t="shared" ref="D32:D33" si="12">AVERAGE(B32:C32)</f>
        <v>36.5</v>
      </c>
      <c r="E32" s="4">
        <v>1000</v>
      </c>
      <c r="F32" s="4">
        <f>1742.6-1704.8</f>
        <v>37.799999999999955</v>
      </c>
      <c r="G32" s="8">
        <f>LOG10(D32*100*E32/F32*1000)</f>
        <v>7.9848010646192495</v>
      </c>
      <c r="H32" s="3"/>
    </row>
    <row r="33" spans="1:8" x14ac:dyDescent="0.2">
      <c r="A33" s="4" t="s">
        <v>13</v>
      </c>
      <c r="B33">
        <v>38</v>
      </c>
      <c r="C33">
        <v>36</v>
      </c>
      <c r="D33">
        <f t="shared" si="12"/>
        <v>37</v>
      </c>
      <c r="E33" s="4">
        <v>100</v>
      </c>
      <c r="F33" s="4">
        <f>1771.8-1682.1</f>
        <v>89.700000000000045</v>
      </c>
      <c r="G33" s="8">
        <f t="shared" ref="G33" si="13">LOG10(D33*100*E33/F33*1000)</f>
        <v>6.6154092810229024</v>
      </c>
      <c r="H33" s="3"/>
    </row>
    <row r="34" spans="1:8" x14ac:dyDescent="0.2">
      <c r="A34" s="4"/>
      <c r="B34" s="10"/>
      <c r="E34" s="4"/>
      <c r="F34" s="4"/>
      <c r="G34" s="8"/>
      <c r="H34" s="3"/>
    </row>
    <row r="35" spans="1:8" ht="51" x14ac:dyDescent="0.2">
      <c r="A35" s="2" t="s">
        <v>24</v>
      </c>
      <c r="B35" s="45" t="s">
        <v>0</v>
      </c>
      <c r="C35" s="45"/>
      <c r="D35" s="6" t="s">
        <v>1</v>
      </c>
      <c r="E35" s="6" t="s">
        <v>4</v>
      </c>
      <c r="F35" s="6" t="s">
        <v>2</v>
      </c>
      <c r="G35" s="7" t="s">
        <v>3</v>
      </c>
      <c r="H35" s="3"/>
    </row>
    <row r="36" spans="1:8" x14ac:dyDescent="0.2">
      <c r="A36" s="4" t="s">
        <v>11</v>
      </c>
      <c r="B36">
        <v>26</v>
      </c>
      <c r="C36">
        <v>14</v>
      </c>
      <c r="D36">
        <f>AVERAGE(B36:C36)</f>
        <v>20</v>
      </c>
      <c r="E36" s="4">
        <v>10000</v>
      </c>
      <c r="F36" s="4">
        <f>1792-1749.4</f>
        <v>42.599999999999909</v>
      </c>
      <c r="G36" s="8">
        <f>LOG10(D36*100*E36/F36*1000)</f>
        <v>8.6716203965612628</v>
      </c>
      <c r="H36" s="3"/>
    </row>
    <row r="37" spans="1:8" x14ac:dyDescent="0.2">
      <c r="A37" s="4" t="s">
        <v>12</v>
      </c>
      <c r="B37">
        <v>14</v>
      </c>
      <c r="C37">
        <v>18</v>
      </c>
      <c r="D37">
        <f t="shared" ref="D37:D40" si="14">AVERAGE(B37:C37)</f>
        <v>16</v>
      </c>
      <c r="E37" s="4">
        <v>10000</v>
      </c>
      <c r="F37" s="4">
        <f>1852-1783.6</f>
        <v>68.400000000000091</v>
      </c>
      <c r="G37" s="8">
        <f>LOG10(D37*100*E37/F37*1000)</f>
        <v>8.3690638809358084</v>
      </c>
      <c r="H37" s="3"/>
    </row>
    <row r="38" spans="1:8" x14ac:dyDescent="0.2">
      <c r="A38" s="4" t="s">
        <v>9</v>
      </c>
      <c r="B38">
        <v>31</v>
      </c>
      <c r="C38">
        <v>23</v>
      </c>
      <c r="D38">
        <f t="shared" si="14"/>
        <v>27</v>
      </c>
      <c r="E38" s="4">
        <v>10000</v>
      </c>
      <c r="F38" s="4">
        <f>1834.9-1748.5</f>
        <v>86.400000000000091</v>
      </c>
      <c r="G38" s="8">
        <f t="shared" ref="G38" si="15">LOG10(D38*100*E38/F38*1000)</f>
        <v>8.4948500216800937</v>
      </c>
      <c r="H38" s="3"/>
    </row>
    <row r="39" spans="1:8" x14ac:dyDescent="0.2">
      <c r="A39" s="4" t="s">
        <v>14</v>
      </c>
      <c r="B39">
        <v>11</v>
      </c>
      <c r="C39">
        <v>13</v>
      </c>
      <c r="D39">
        <f t="shared" si="14"/>
        <v>12</v>
      </c>
      <c r="E39" s="4">
        <v>10000</v>
      </c>
      <c r="F39" s="4">
        <f>1995.2-1830.7</f>
        <v>164.5</v>
      </c>
      <c r="G39" s="8">
        <f>LOG10(D39*100*E39/F39*1000)</f>
        <v>7.8630153437616315</v>
      </c>
      <c r="H39" s="3"/>
    </row>
    <row r="40" spans="1:8" x14ac:dyDescent="0.2">
      <c r="A40" s="4" t="s">
        <v>13</v>
      </c>
      <c r="B40">
        <v>18</v>
      </c>
      <c r="C40">
        <v>19</v>
      </c>
      <c r="D40">
        <f t="shared" si="14"/>
        <v>18.5</v>
      </c>
      <c r="E40" s="4">
        <v>100</v>
      </c>
      <c r="F40" s="4">
        <f>1932.5-1756.1</f>
        <v>176.40000000000009</v>
      </c>
      <c r="G40" s="8">
        <f t="shared" ref="G40" si="16">LOG10(D40*100*E40/F40*1000)</f>
        <v>6.0206731476072122</v>
      </c>
      <c r="H40" s="3"/>
    </row>
    <row r="41" spans="1:8" x14ac:dyDescent="0.2">
      <c r="A41" s="4"/>
      <c r="C41" t="s">
        <v>63</v>
      </c>
      <c r="E41" s="4"/>
      <c r="F41" s="1"/>
      <c r="G41" s="8"/>
      <c r="H41" s="3"/>
    </row>
    <row r="42" spans="1:8" ht="51" x14ac:dyDescent="0.2">
      <c r="A42" s="2" t="s">
        <v>25</v>
      </c>
      <c r="B42" s="45" t="s">
        <v>0</v>
      </c>
      <c r="C42" s="45"/>
      <c r="D42" s="6" t="s">
        <v>1</v>
      </c>
      <c r="E42" s="6" t="s">
        <v>4</v>
      </c>
      <c r="F42" s="6" t="s">
        <v>2</v>
      </c>
      <c r="G42" s="7" t="s">
        <v>3</v>
      </c>
      <c r="H42" s="3"/>
    </row>
    <row r="43" spans="1:8" x14ac:dyDescent="0.2">
      <c r="A43" s="4" t="s">
        <v>11</v>
      </c>
      <c r="B43">
        <v>15</v>
      </c>
      <c r="C43">
        <v>9</v>
      </c>
      <c r="D43">
        <f>AVERAGE(B43:C43)</f>
        <v>12</v>
      </c>
      <c r="E43" s="4">
        <v>10000</v>
      </c>
      <c r="F43" s="4">
        <f>1803-1751.6</f>
        <v>51.400000000000091</v>
      </c>
      <c r="G43" s="8">
        <f>LOG10(D43*100*E43/F43*1000)</f>
        <v>8.3682181270523479</v>
      </c>
      <c r="H43" s="3"/>
    </row>
    <row r="44" spans="1:8" x14ac:dyDescent="0.2">
      <c r="A44" s="4" t="s">
        <v>12</v>
      </c>
      <c r="B44">
        <v>23</v>
      </c>
      <c r="C44">
        <v>17</v>
      </c>
      <c r="D44">
        <f t="shared" ref="D44:D47" si="17">AVERAGE(B44:C44)</f>
        <v>20</v>
      </c>
      <c r="E44" s="4">
        <v>10000</v>
      </c>
      <c r="F44" s="4">
        <f>1862.7-1821.6</f>
        <v>41.100000000000136</v>
      </c>
      <c r="G44" s="8">
        <f>LOG10(D44*100*E44/F44*1000)</f>
        <v>8.6871881737879111</v>
      </c>
      <c r="H44" s="3"/>
    </row>
    <row r="45" spans="1:8" x14ac:dyDescent="0.2">
      <c r="A45" s="4" t="s">
        <v>9</v>
      </c>
      <c r="B45">
        <v>32</v>
      </c>
      <c r="C45">
        <v>26</v>
      </c>
      <c r="D45">
        <f t="shared" si="17"/>
        <v>29</v>
      </c>
      <c r="E45" s="4">
        <v>10000</v>
      </c>
      <c r="F45" s="4">
        <f>1860.6-1823.1</f>
        <v>37.5</v>
      </c>
      <c r="G45" s="8">
        <f t="shared" ref="G45" si="18">LOG10(D45*100*E45/F45*1000)</f>
        <v>8.8883667301712368</v>
      </c>
      <c r="H45" s="3"/>
    </row>
    <row r="46" spans="1:8" x14ac:dyDescent="0.2">
      <c r="A46" s="4" t="s">
        <v>14</v>
      </c>
      <c r="B46">
        <v>39</v>
      </c>
      <c r="C46">
        <v>32</v>
      </c>
      <c r="D46">
        <f t="shared" si="17"/>
        <v>35.5</v>
      </c>
      <c r="E46" s="4">
        <v>1000</v>
      </c>
      <c r="F46" s="4">
        <f>1800.4-1733.3</f>
        <v>67.100000000000136</v>
      </c>
      <c r="G46" s="8">
        <f>LOG10(D46*100*E46/F46*1000)</f>
        <v>7.7235058328861008</v>
      </c>
      <c r="H46" s="3"/>
    </row>
    <row r="47" spans="1:8" x14ac:dyDescent="0.2">
      <c r="A47" s="4" t="s">
        <v>13</v>
      </c>
      <c r="B47">
        <v>51</v>
      </c>
      <c r="C47">
        <v>69</v>
      </c>
      <c r="D47">
        <f t="shared" si="17"/>
        <v>60</v>
      </c>
      <c r="E47" s="4">
        <v>100</v>
      </c>
      <c r="F47" s="4">
        <f>1856.3-1809.5</f>
        <v>46.799999999999955</v>
      </c>
      <c r="G47" s="8">
        <f t="shared" ref="G47" si="19">LOG10(D47*100*E47/F47*1000)</f>
        <v>7.1079053973095201</v>
      </c>
      <c r="H47" s="3"/>
    </row>
    <row r="48" spans="1:8" x14ac:dyDescent="0.2">
      <c r="A48" s="9"/>
      <c r="B48" s="10"/>
      <c r="C48" s="10"/>
      <c r="E48" s="9"/>
      <c r="F48" s="11"/>
      <c r="G48" s="8"/>
      <c r="H48" s="3"/>
    </row>
    <row r="49" spans="1:8" ht="51" x14ac:dyDescent="0.2">
      <c r="A49" s="2" t="s">
        <v>26</v>
      </c>
      <c r="B49" s="45" t="s">
        <v>0</v>
      </c>
      <c r="C49" s="45"/>
      <c r="D49" s="6" t="s">
        <v>1</v>
      </c>
      <c r="E49" s="6" t="s">
        <v>4</v>
      </c>
      <c r="F49" s="6" t="s">
        <v>2</v>
      </c>
      <c r="G49" s="7" t="s">
        <v>3</v>
      </c>
      <c r="H49" s="3"/>
    </row>
    <row r="50" spans="1:8" x14ac:dyDescent="0.2">
      <c r="A50" s="4" t="s">
        <v>11</v>
      </c>
      <c r="B50">
        <v>14</v>
      </c>
      <c r="C50">
        <v>19</v>
      </c>
      <c r="D50">
        <f>AVERAGE(B50:C50)</f>
        <v>16.5</v>
      </c>
      <c r="E50" s="4">
        <v>10000</v>
      </c>
      <c r="F50" s="4">
        <f>1790.3-1769.5</f>
        <v>20.799999999999955</v>
      </c>
      <c r="G50" s="8">
        <f>LOG10(D50*100*E50/F50*1000)</f>
        <v>8.8994206092511465</v>
      </c>
      <c r="H50" s="3"/>
    </row>
    <row r="51" spans="1:8" x14ac:dyDescent="0.2">
      <c r="A51" s="4" t="s">
        <v>12</v>
      </c>
      <c r="B51">
        <v>25</v>
      </c>
      <c r="C51">
        <v>22</v>
      </c>
      <c r="D51">
        <f t="shared" ref="D51:D54" si="20">AVERAGE(B51:C51)</f>
        <v>23.5</v>
      </c>
      <c r="E51" s="4">
        <v>10000</v>
      </c>
      <c r="F51" s="4">
        <f>1920.2-1885.5</f>
        <v>34.700000000000045</v>
      </c>
      <c r="G51" s="8">
        <f>LOG10(D51*100*E51/F51*1000)</f>
        <v>8.8307383874808618</v>
      </c>
      <c r="H51" s="3"/>
    </row>
    <row r="52" spans="1:8" x14ac:dyDescent="0.2">
      <c r="A52" s="4" t="s">
        <v>9</v>
      </c>
      <c r="B52">
        <v>25</v>
      </c>
      <c r="C52">
        <v>34</v>
      </c>
      <c r="D52">
        <f t="shared" si="20"/>
        <v>29.5</v>
      </c>
      <c r="E52" s="4">
        <v>10000</v>
      </c>
      <c r="F52" s="4">
        <f>1783.4-1738.2</f>
        <v>45.200000000000045</v>
      </c>
      <c r="G52" s="8">
        <f t="shared" ref="G52" si="21">LOG10(D52*100*E52/F52*1000)</f>
        <v>8.814683581166781</v>
      </c>
    </row>
    <row r="53" spans="1:8" x14ac:dyDescent="0.2">
      <c r="A53" s="4" t="s">
        <v>14</v>
      </c>
      <c r="B53">
        <v>54</v>
      </c>
      <c r="C53">
        <v>64</v>
      </c>
      <c r="D53">
        <f t="shared" si="20"/>
        <v>59</v>
      </c>
      <c r="E53" s="4">
        <v>1000</v>
      </c>
      <c r="F53" s="4">
        <f>1794.1-1780.1</f>
        <v>14</v>
      </c>
      <c r="G53" s="8">
        <f>LOG10(D53*100*E53/F53*1000)</f>
        <v>8.6247239759639065</v>
      </c>
    </row>
    <row r="54" spans="1:8" x14ac:dyDescent="0.2">
      <c r="A54" s="4" t="s">
        <v>13</v>
      </c>
      <c r="B54">
        <v>18</v>
      </c>
      <c r="C54">
        <v>11</v>
      </c>
      <c r="D54">
        <f t="shared" si="20"/>
        <v>14.5</v>
      </c>
      <c r="E54" s="4">
        <v>1000</v>
      </c>
      <c r="F54" s="4">
        <f>1807.7-1757.9</f>
        <v>49.799999999999955</v>
      </c>
      <c r="G54" s="8">
        <f t="shared" ref="G54" si="22">LOG10(D54*100*E54/F54*1000)</f>
        <v>7.4641386594752577</v>
      </c>
    </row>
    <row r="56" spans="1:8" ht="51" x14ac:dyDescent="0.2">
      <c r="A56" s="2" t="s">
        <v>27</v>
      </c>
      <c r="B56" s="45" t="s">
        <v>0</v>
      </c>
      <c r="C56" s="45"/>
      <c r="D56" s="6" t="s">
        <v>1</v>
      </c>
      <c r="E56" s="6" t="s">
        <v>4</v>
      </c>
      <c r="F56" s="6" t="s">
        <v>2</v>
      </c>
      <c r="G56" s="7" t="s">
        <v>3</v>
      </c>
    </row>
    <row r="57" spans="1:8" x14ac:dyDescent="0.2">
      <c r="A57" s="4" t="s">
        <v>11</v>
      </c>
      <c r="B57">
        <v>46</v>
      </c>
      <c r="C57">
        <v>45</v>
      </c>
      <c r="D57">
        <f>AVERAGE(B57:C57)</f>
        <v>45.5</v>
      </c>
      <c r="E57" s="4">
        <v>1000</v>
      </c>
      <c r="F57" s="4">
        <f>1915.3-1902.3</f>
        <v>13</v>
      </c>
      <c r="G57" s="8">
        <f>LOG10(D57*100*E57/F57*1000)</f>
        <v>8.5440680443502757</v>
      </c>
    </row>
    <row r="58" spans="1:8" x14ac:dyDescent="0.2">
      <c r="A58" s="4" t="s">
        <v>12</v>
      </c>
      <c r="B58">
        <v>24</v>
      </c>
      <c r="C58">
        <v>28</v>
      </c>
      <c r="D58">
        <f t="shared" ref="D58:D61" si="23">AVERAGE(B58:C58)</f>
        <v>26</v>
      </c>
      <c r="E58" s="4">
        <v>10000</v>
      </c>
      <c r="F58" s="4">
        <f>1859.8-1815.4</f>
        <v>44.399999999999864</v>
      </c>
      <c r="G58" s="8">
        <f>LOG10(D58*100*E58/F58*1000)</f>
        <v>8.7675903778561999</v>
      </c>
    </row>
    <row r="59" spans="1:8" x14ac:dyDescent="0.2">
      <c r="A59" s="4" t="s">
        <v>9</v>
      </c>
      <c r="B59">
        <v>45</v>
      </c>
      <c r="C59">
        <v>39</v>
      </c>
      <c r="D59">
        <f t="shared" si="23"/>
        <v>42</v>
      </c>
      <c r="E59" s="4">
        <v>10000</v>
      </c>
      <c r="F59" s="4">
        <f>1741.6-1674.7</f>
        <v>66.899999999999864</v>
      </c>
      <c r="G59" s="8">
        <f t="shared" ref="G59" si="24">LOG10(D59*100*E59/F59*1000)</f>
        <v>8.7978231726300784</v>
      </c>
    </row>
    <row r="60" spans="1:8" x14ac:dyDescent="0.2">
      <c r="A60" s="4" t="s">
        <v>14</v>
      </c>
      <c r="B60">
        <v>27</v>
      </c>
      <c r="C60">
        <v>22</v>
      </c>
      <c r="D60">
        <f t="shared" si="23"/>
        <v>24.5</v>
      </c>
      <c r="E60" s="4">
        <v>10000</v>
      </c>
      <c r="F60" s="4">
        <f>1733.8-1688.7</f>
        <v>45.099999999999909</v>
      </c>
      <c r="G60" s="8">
        <f>LOG10(D60*100*E60/F60*1000)</f>
        <v>8.7349895424865736</v>
      </c>
    </row>
    <row r="61" spans="1:8" x14ac:dyDescent="0.2">
      <c r="A61" s="4" t="s">
        <v>13</v>
      </c>
      <c r="B61">
        <v>69</v>
      </c>
      <c r="C61">
        <v>66</v>
      </c>
      <c r="D61">
        <f t="shared" si="23"/>
        <v>67.5</v>
      </c>
      <c r="E61" s="4">
        <v>100</v>
      </c>
      <c r="F61" s="4">
        <f>1864.4-1842.1</f>
        <v>22.300000000000182</v>
      </c>
      <c r="G61" s="8">
        <f t="shared" ref="G61" si="25">LOG10(D61*100*E61/F61*1000)</f>
        <v>7.4809989097828611</v>
      </c>
    </row>
    <row r="63" spans="1:8" s="12" customFormat="1" x14ac:dyDescent="0.2"/>
    <row r="65" spans="1:7" ht="51" x14ac:dyDescent="0.2">
      <c r="A65" s="2" t="s">
        <v>28</v>
      </c>
      <c r="B65" s="45" t="s">
        <v>0</v>
      </c>
      <c r="C65" s="45"/>
      <c r="D65" s="6" t="s">
        <v>1</v>
      </c>
      <c r="E65" s="6" t="s">
        <v>4</v>
      </c>
      <c r="F65" s="6" t="s">
        <v>2</v>
      </c>
      <c r="G65" s="7" t="s">
        <v>3</v>
      </c>
    </row>
    <row r="66" spans="1:7" x14ac:dyDescent="0.2">
      <c r="A66" s="4" t="s">
        <v>11</v>
      </c>
      <c r="B66">
        <v>0</v>
      </c>
      <c r="C66">
        <v>0</v>
      </c>
      <c r="D66">
        <f>AVERAGE(B66:C66)</f>
        <v>0</v>
      </c>
      <c r="E66" s="4">
        <v>1</v>
      </c>
      <c r="F66" s="4">
        <f>1782.2-1729.8</f>
        <v>52.400000000000091</v>
      </c>
      <c r="G66" s="8" t="e">
        <f>LOG10(D66*100*E66/F66*1000)</f>
        <v>#NUM!</v>
      </c>
    </row>
    <row r="67" spans="1:7" x14ac:dyDescent="0.2">
      <c r="A67" s="4" t="s">
        <v>12</v>
      </c>
      <c r="B67">
        <v>0</v>
      </c>
      <c r="C67">
        <v>0</v>
      </c>
      <c r="D67">
        <f t="shared" ref="D67:D68" si="26">AVERAGE(B67:C67)</f>
        <v>0</v>
      </c>
      <c r="E67" s="4">
        <v>1</v>
      </c>
      <c r="F67" s="4">
        <f>1828.2-1807.3</f>
        <v>20.900000000000091</v>
      </c>
      <c r="G67" s="8" t="e">
        <f>LOG10(D67*100*E67/F67*1000)</f>
        <v>#NUM!</v>
      </c>
    </row>
    <row r="68" spans="1:7" x14ac:dyDescent="0.2">
      <c r="A68" s="4" t="s">
        <v>9</v>
      </c>
      <c r="B68">
        <v>0</v>
      </c>
      <c r="C68">
        <v>0</v>
      </c>
      <c r="D68">
        <f t="shared" si="26"/>
        <v>0</v>
      </c>
      <c r="E68" s="4">
        <v>1</v>
      </c>
      <c r="F68" s="4">
        <f>1876.5-1813.8</f>
        <v>62.700000000000045</v>
      </c>
      <c r="G68" s="8" t="e">
        <f t="shared" ref="G68" si="27">LOG10(D68*100*E68/F68*1000)</f>
        <v>#NUM!</v>
      </c>
    </row>
    <row r="70" spans="1:7" ht="51" x14ac:dyDescent="0.2">
      <c r="A70" s="2" t="s">
        <v>29</v>
      </c>
      <c r="B70" s="45" t="s">
        <v>0</v>
      </c>
      <c r="C70" s="45"/>
      <c r="D70" s="6" t="s">
        <v>1</v>
      </c>
      <c r="E70" s="6" t="s">
        <v>4</v>
      </c>
      <c r="F70" s="6" t="s">
        <v>2</v>
      </c>
      <c r="G70" s="7" t="s">
        <v>3</v>
      </c>
    </row>
    <row r="71" spans="1:7" x14ac:dyDescent="0.2">
      <c r="A71" s="4" t="s">
        <v>11</v>
      </c>
      <c r="B71">
        <v>0</v>
      </c>
      <c r="C71">
        <v>0</v>
      </c>
      <c r="D71">
        <f>AVERAGE(B71:C71)</f>
        <v>0</v>
      </c>
      <c r="E71" s="4">
        <v>1</v>
      </c>
      <c r="F71" s="4">
        <f>1723.8-1698.5</f>
        <v>25.299999999999955</v>
      </c>
      <c r="G71" s="8" t="e">
        <f>LOG10(D71*100*E71/F71*1000)</f>
        <v>#NUM!</v>
      </c>
    </row>
    <row r="72" spans="1:7" x14ac:dyDescent="0.2">
      <c r="A72" s="4" t="s">
        <v>12</v>
      </c>
      <c r="B72">
        <v>0</v>
      </c>
      <c r="C72">
        <v>0</v>
      </c>
      <c r="D72">
        <f t="shared" ref="D72:D73" si="28">AVERAGE(B72:C72)</f>
        <v>0</v>
      </c>
      <c r="E72" s="4">
        <v>1</v>
      </c>
      <c r="F72" s="4">
        <f>1842.4-1817.2</f>
        <v>25.200000000000045</v>
      </c>
      <c r="G72" s="8" t="e">
        <f>LOG10(D72*100*E72/F72*1000)</f>
        <v>#NUM!</v>
      </c>
    </row>
    <row r="73" spans="1:7" x14ac:dyDescent="0.2">
      <c r="A73" s="4" t="s">
        <v>9</v>
      </c>
      <c r="B73">
        <v>0</v>
      </c>
      <c r="C73">
        <v>0</v>
      </c>
      <c r="D73">
        <f t="shared" si="28"/>
        <v>0</v>
      </c>
      <c r="E73" s="4">
        <v>1</v>
      </c>
      <c r="F73" s="4">
        <f>1777.1-1760.9</f>
        <v>16.199999999999818</v>
      </c>
      <c r="G73" s="8" t="e">
        <f t="shared" ref="G73" si="29">LOG10(D73*100*E73/F73*1000)</f>
        <v>#NUM!</v>
      </c>
    </row>
    <row r="75" spans="1:7" ht="51" x14ac:dyDescent="0.2">
      <c r="A75" s="2" t="s">
        <v>30</v>
      </c>
      <c r="B75" s="45" t="s">
        <v>0</v>
      </c>
      <c r="C75" s="45"/>
      <c r="D75" s="6" t="s">
        <v>1</v>
      </c>
      <c r="E75" s="6" t="s">
        <v>4</v>
      </c>
      <c r="F75" s="6" t="s">
        <v>2</v>
      </c>
      <c r="G75" s="7" t="s">
        <v>3</v>
      </c>
    </row>
    <row r="76" spans="1:7" x14ac:dyDescent="0.2">
      <c r="A76" s="4" t="s">
        <v>11</v>
      </c>
      <c r="B76">
        <v>0</v>
      </c>
      <c r="C76">
        <v>0</v>
      </c>
      <c r="D76">
        <f>AVERAGE(B76:C76)</f>
        <v>0</v>
      </c>
      <c r="E76" s="4">
        <v>1</v>
      </c>
      <c r="F76" s="4">
        <f>1832.6-1816.5</f>
        <v>16.099999999999909</v>
      </c>
      <c r="G76" s="8" t="e">
        <f>LOG10(D76*100*E76/F76*1000)</f>
        <v>#NUM!</v>
      </c>
    </row>
    <row r="77" spans="1:7" x14ac:dyDescent="0.2">
      <c r="A77" s="4" t="s">
        <v>12</v>
      </c>
      <c r="B77">
        <v>0</v>
      </c>
      <c r="C77">
        <v>0</v>
      </c>
      <c r="D77">
        <f t="shared" ref="D77:D78" si="30">AVERAGE(B77:C77)</f>
        <v>0</v>
      </c>
      <c r="E77" s="4">
        <v>1</v>
      </c>
      <c r="F77" s="4">
        <f>1804.6-1790.1</f>
        <v>14.5</v>
      </c>
      <c r="G77" s="8" t="e">
        <f>LOG10(D77*100*E77/F77*1000)</f>
        <v>#NUM!</v>
      </c>
    </row>
    <row r="78" spans="1:7" x14ac:dyDescent="0.2">
      <c r="A78" s="4" t="s">
        <v>9</v>
      </c>
      <c r="B78">
        <v>0</v>
      </c>
      <c r="C78">
        <v>0</v>
      </c>
      <c r="D78">
        <f t="shared" si="30"/>
        <v>0</v>
      </c>
      <c r="E78" s="4">
        <v>1</v>
      </c>
      <c r="F78" s="4">
        <f>1833.5-1805.5</f>
        <v>28</v>
      </c>
      <c r="G78" s="8" t="e">
        <f t="shared" ref="G78" si="31">LOG10(D78*100*E78/F78*1000)</f>
        <v>#NUM!</v>
      </c>
    </row>
    <row r="80" spans="1:7" ht="51" x14ac:dyDescent="0.2">
      <c r="A80" s="2" t="s">
        <v>31</v>
      </c>
      <c r="B80" s="45" t="s">
        <v>0</v>
      </c>
      <c r="C80" s="45"/>
      <c r="D80" s="6" t="s">
        <v>1</v>
      </c>
      <c r="E80" s="6" t="s">
        <v>4</v>
      </c>
      <c r="F80" s="6" t="s">
        <v>2</v>
      </c>
      <c r="G80" s="7" t="s">
        <v>3</v>
      </c>
    </row>
    <row r="81" spans="1:7" x14ac:dyDescent="0.2">
      <c r="A81" s="4" t="s">
        <v>11</v>
      </c>
      <c r="B81">
        <v>0</v>
      </c>
      <c r="C81">
        <v>0</v>
      </c>
      <c r="D81">
        <f>AVERAGE(B81:C81)</f>
        <v>0</v>
      </c>
      <c r="E81" s="4">
        <v>1</v>
      </c>
      <c r="F81" s="4">
        <f>1807.5-1788.2</f>
        <v>19.299999999999955</v>
      </c>
      <c r="G81" s="8" t="e">
        <f>LOG10(D81*100*E81/F81*1000)</f>
        <v>#NUM!</v>
      </c>
    </row>
    <row r="82" spans="1:7" x14ac:dyDescent="0.2">
      <c r="A82" s="4" t="s">
        <v>12</v>
      </c>
      <c r="B82">
        <v>0</v>
      </c>
      <c r="C82">
        <v>0</v>
      </c>
      <c r="D82">
        <f t="shared" ref="D82:D83" si="32">AVERAGE(B82:C82)</f>
        <v>0</v>
      </c>
      <c r="E82" s="4">
        <v>1</v>
      </c>
      <c r="F82" s="4">
        <f>1764-1747.3</f>
        <v>16.700000000000045</v>
      </c>
      <c r="G82" s="8" t="e">
        <f>LOG10(D82*100*E82/F82*1000)</f>
        <v>#NUM!</v>
      </c>
    </row>
    <row r="83" spans="1:7" x14ac:dyDescent="0.2">
      <c r="A83" s="4" t="s">
        <v>9</v>
      </c>
      <c r="B83">
        <v>0</v>
      </c>
      <c r="C83">
        <v>0</v>
      </c>
      <c r="D83">
        <f t="shared" si="32"/>
        <v>0</v>
      </c>
      <c r="E83" s="4">
        <v>1</v>
      </c>
      <c r="F83" s="4">
        <f>1789.4-1755.6</f>
        <v>33.800000000000182</v>
      </c>
      <c r="G83" s="8" t="e">
        <f t="shared" ref="G83" si="33">LOG10(D83*100*E83/F83*1000)</f>
        <v>#NUM!</v>
      </c>
    </row>
    <row r="85" spans="1:7" ht="51" x14ac:dyDescent="0.2">
      <c r="A85" s="2" t="s">
        <v>32</v>
      </c>
      <c r="B85" s="45" t="s">
        <v>0</v>
      </c>
      <c r="C85" s="45"/>
      <c r="D85" s="6" t="s">
        <v>1</v>
      </c>
      <c r="E85" s="6" t="s">
        <v>4</v>
      </c>
      <c r="F85" s="6" t="s">
        <v>2</v>
      </c>
      <c r="G85" s="7" t="s">
        <v>3</v>
      </c>
    </row>
    <row r="86" spans="1:7" x14ac:dyDescent="0.2">
      <c r="A86" s="4" t="s">
        <v>11</v>
      </c>
      <c r="B86">
        <v>0</v>
      </c>
      <c r="C86">
        <v>0</v>
      </c>
      <c r="D86">
        <f>AVERAGE(B86:C86)</f>
        <v>0</v>
      </c>
      <c r="E86" s="4">
        <v>1</v>
      </c>
      <c r="F86" s="4">
        <f>1901-1860.8</f>
        <v>40.200000000000045</v>
      </c>
      <c r="G86" s="8" t="e">
        <f>LOG10(D86*100*E86/F86*1000)</f>
        <v>#NUM!</v>
      </c>
    </row>
    <row r="87" spans="1:7" x14ac:dyDescent="0.2">
      <c r="A87" s="4" t="s">
        <v>12</v>
      </c>
      <c r="B87">
        <v>0</v>
      </c>
      <c r="C87">
        <v>0</v>
      </c>
      <c r="D87">
        <f t="shared" ref="D87:D88" si="34">AVERAGE(B87:C87)</f>
        <v>0</v>
      </c>
      <c r="E87" s="4">
        <v>1</v>
      </c>
      <c r="F87" s="4">
        <f>1784-1757</f>
        <v>27</v>
      </c>
      <c r="G87" s="8" t="e">
        <f>LOG10(D87*100*E87/F87*1000)</f>
        <v>#NUM!</v>
      </c>
    </row>
    <row r="88" spans="1:7" x14ac:dyDescent="0.2">
      <c r="A88" s="4" t="s">
        <v>9</v>
      </c>
      <c r="B88">
        <v>0</v>
      </c>
      <c r="C88">
        <v>0</v>
      </c>
      <c r="D88">
        <f t="shared" si="34"/>
        <v>0</v>
      </c>
      <c r="E88" s="4">
        <v>1</v>
      </c>
      <c r="F88" s="4">
        <f>1769.1-1754.7</f>
        <v>14.399999999999864</v>
      </c>
      <c r="G88" s="8" t="e">
        <f t="shared" ref="G88" si="35">LOG10(D88*100*E88/F88*1000)</f>
        <v>#NUM!</v>
      </c>
    </row>
  </sheetData>
  <mergeCells count="15">
    <mergeCell ref="B1:C1"/>
    <mergeCell ref="B35:C35"/>
    <mergeCell ref="B42:C42"/>
    <mergeCell ref="B49:C49"/>
    <mergeCell ref="B56:C56"/>
    <mergeCell ref="B6:C6"/>
    <mergeCell ref="B11:C11"/>
    <mergeCell ref="B16:C16"/>
    <mergeCell ref="B21:C21"/>
    <mergeCell ref="B28:C28"/>
    <mergeCell ref="B65:C65"/>
    <mergeCell ref="B70:C70"/>
    <mergeCell ref="B75:C75"/>
    <mergeCell ref="B80:C80"/>
    <mergeCell ref="B85:C8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D1528-F668-2B4F-A5A6-7803EE9D439D}">
  <dimension ref="A1:N33"/>
  <sheetViews>
    <sheetView workbookViewId="0">
      <selection activeCell="N17" sqref="N17"/>
    </sheetView>
  </sheetViews>
  <sheetFormatPr baseColWidth="10" defaultRowHeight="16" x14ac:dyDescent="0.2"/>
  <cols>
    <col min="1" max="1" width="14" customWidth="1"/>
  </cols>
  <sheetData>
    <row r="1" spans="1:14" x14ac:dyDescent="0.2">
      <c r="A1" s="21" t="s">
        <v>33</v>
      </c>
      <c r="B1" s="21" t="s">
        <v>34</v>
      </c>
      <c r="C1" s="21" t="s">
        <v>35</v>
      </c>
      <c r="D1" s="21" t="s">
        <v>36</v>
      </c>
      <c r="E1" s="21" t="s">
        <v>37</v>
      </c>
      <c r="F1" s="21" t="s">
        <v>38</v>
      </c>
      <c r="G1" s="21" t="s">
        <v>39</v>
      </c>
      <c r="H1" s="21" t="s">
        <v>40</v>
      </c>
      <c r="I1" s="21" t="s">
        <v>41</v>
      </c>
      <c r="J1" s="21" t="s">
        <v>42</v>
      </c>
      <c r="K1" s="21" t="s">
        <v>43</v>
      </c>
      <c r="L1" s="21" t="s">
        <v>44</v>
      </c>
      <c r="M1" s="21" t="s">
        <v>61</v>
      </c>
      <c r="N1" s="21" t="s">
        <v>45</v>
      </c>
    </row>
    <row r="2" spans="1:14" x14ac:dyDescent="0.2">
      <c r="A2" s="22" t="s">
        <v>46</v>
      </c>
      <c r="B2" s="23">
        <v>19.100000000000001</v>
      </c>
      <c r="C2" s="23">
        <v>18.399999999999999</v>
      </c>
      <c r="D2" s="23">
        <v>18.399999999999999</v>
      </c>
      <c r="E2" s="23">
        <v>18.8</v>
      </c>
      <c r="F2" s="23">
        <v>19.2</v>
      </c>
      <c r="G2" s="23">
        <v>20</v>
      </c>
      <c r="H2" s="23">
        <v>19.2</v>
      </c>
      <c r="I2" s="23">
        <v>19</v>
      </c>
      <c r="J2" s="23">
        <v>19.100000000000001</v>
      </c>
      <c r="K2" s="23">
        <v>18.399999999999999</v>
      </c>
      <c r="L2" s="23">
        <v>19.7</v>
      </c>
      <c r="M2" s="23">
        <v>19.8</v>
      </c>
      <c r="N2" s="24">
        <v>20.2</v>
      </c>
    </row>
    <row r="3" spans="1:14" x14ac:dyDescent="0.2">
      <c r="A3" s="25" t="s">
        <v>47</v>
      </c>
      <c r="B3" s="4">
        <v>19.3</v>
      </c>
      <c r="C3" s="4">
        <v>19.399999999999999</v>
      </c>
      <c r="D3" s="4">
        <v>19.3</v>
      </c>
      <c r="E3" s="4">
        <v>19.5</v>
      </c>
      <c r="F3" s="4">
        <v>19.600000000000001</v>
      </c>
      <c r="G3" s="4">
        <v>19.3</v>
      </c>
      <c r="H3" s="4">
        <v>19</v>
      </c>
      <c r="I3" s="4">
        <v>19.2</v>
      </c>
      <c r="J3" s="4">
        <v>19.2</v>
      </c>
      <c r="K3" s="4">
        <v>18.899999999999999</v>
      </c>
      <c r="L3" s="4">
        <v>19.899999999999999</v>
      </c>
      <c r="M3" s="4">
        <v>19.5</v>
      </c>
      <c r="N3" s="26">
        <v>19.399999999999999</v>
      </c>
    </row>
    <row r="4" spans="1:14" x14ac:dyDescent="0.2">
      <c r="A4" s="25" t="s">
        <v>48</v>
      </c>
      <c r="B4" s="4">
        <v>19.399999999999999</v>
      </c>
      <c r="C4" s="4">
        <v>18.8</v>
      </c>
      <c r="D4" s="4">
        <v>18.7</v>
      </c>
      <c r="E4" s="4">
        <v>19.399999999999999</v>
      </c>
      <c r="F4" s="4">
        <v>19.3</v>
      </c>
      <c r="G4" s="4">
        <v>19.100000000000001</v>
      </c>
      <c r="H4" s="4">
        <v>19</v>
      </c>
      <c r="I4" s="4">
        <v>19.100000000000001</v>
      </c>
      <c r="J4" s="4">
        <v>18.399999999999999</v>
      </c>
      <c r="K4" s="4">
        <v>18.8</v>
      </c>
      <c r="L4" s="4">
        <v>18.8</v>
      </c>
      <c r="M4" s="4">
        <v>19.2</v>
      </c>
      <c r="N4" s="26">
        <v>19.3</v>
      </c>
    </row>
    <row r="5" spans="1:14" x14ac:dyDescent="0.2">
      <c r="A5" s="25" t="s">
        <v>49</v>
      </c>
      <c r="B5" s="4">
        <v>20.8</v>
      </c>
      <c r="C5" s="4">
        <v>21.1</v>
      </c>
      <c r="D5" s="4">
        <v>20.9</v>
      </c>
      <c r="E5" s="4">
        <v>20.100000000000001</v>
      </c>
      <c r="F5" s="4">
        <v>19.8</v>
      </c>
      <c r="G5" s="4">
        <v>20.399999999999999</v>
      </c>
      <c r="H5" s="4">
        <v>20.6</v>
      </c>
      <c r="I5" s="4">
        <v>20.7</v>
      </c>
      <c r="J5" s="4">
        <v>20.8</v>
      </c>
      <c r="K5" s="4">
        <v>20.7</v>
      </c>
      <c r="L5" s="4">
        <v>20.399999999999999</v>
      </c>
      <c r="M5" s="4">
        <v>21.1</v>
      </c>
      <c r="N5" s="26">
        <v>20.6</v>
      </c>
    </row>
    <row r="6" spans="1:14" x14ac:dyDescent="0.2">
      <c r="A6" s="27" t="s">
        <v>50</v>
      </c>
      <c r="B6" s="28">
        <v>19</v>
      </c>
      <c r="C6" s="28">
        <v>18.7</v>
      </c>
      <c r="D6" s="28">
        <v>18.8</v>
      </c>
      <c r="E6" s="28">
        <v>19.2</v>
      </c>
      <c r="F6" s="28">
        <v>19.5</v>
      </c>
      <c r="G6" s="28">
        <v>19.7</v>
      </c>
      <c r="H6" s="28">
        <v>19.2</v>
      </c>
      <c r="I6" s="28">
        <v>19</v>
      </c>
      <c r="J6" s="28">
        <v>19.100000000000001</v>
      </c>
      <c r="K6" s="28">
        <v>18.100000000000001</v>
      </c>
      <c r="L6" s="28">
        <v>18.899999999999999</v>
      </c>
      <c r="M6" s="28">
        <v>18.399999999999999</v>
      </c>
      <c r="N6" s="29">
        <v>19.100000000000001</v>
      </c>
    </row>
    <row r="7" spans="1:14" x14ac:dyDescent="0.2">
      <c r="A7" s="22" t="s">
        <v>51</v>
      </c>
      <c r="B7" s="23">
        <v>21.7</v>
      </c>
      <c r="C7" s="23">
        <v>20.8</v>
      </c>
      <c r="D7" s="23">
        <v>20.6</v>
      </c>
      <c r="E7" s="23">
        <v>21.1</v>
      </c>
      <c r="F7" s="23">
        <v>19.8</v>
      </c>
      <c r="G7" s="23">
        <v>19.8</v>
      </c>
      <c r="H7" s="23">
        <v>19</v>
      </c>
      <c r="I7" s="23">
        <v>18.5</v>
      </c>
      <c r="J7" s="23">
        <v>18</v>
      </c>
      <c r="K7" s="23">
        <v>18.3</v>
      </c>
      <c r="L7" s="23">
        <v>18.600000000000001</v>
      </c>
      <c r="M7" s="23">
        <v>18.5</v>
      </c>
      <c r="N7" s="24">
        <v>19.100000000000001</v>
      </c>
    </row>
    <row r="8" spans="1:14" x14ac:dyDescent="0.2">
      <c r="A8" s="25" t="s">
        <v>52</v>
      </c>
      <c r="B8" s="4">
        <v>18.5</v>
      </c>
      <c r="C8" s="4">
        <v>17.5</v>
      </c>
      <c r="D8" s="4">
        <v>17.3</v>
      </c>
      <c r="E8" s="4">
        <v>17.5</v>
      </c>
      <c r="F8" s="4">
        <v>17.100000000000001</v>
      </c>
      <c r="G8" s="4">
        <v>17.2</v>
      </c>
      <c r="H8" s="4">
        <v>17.100000000000001</v>
      </c>
      <c r="I8" s="4">
        <v>16</v>
      </c>
      <c r="J8" s="4">
        <v>16.7</v>
      </c>
      <c r="K8" s="4">
        <v>17.5</v>
      </c>
      <c r="L8" s="4">
        <v>17.600000000000001</v>
      </c>
      <c r="M8" s="4">
        <v>18.2</v>
      </c>
      <c r="N8" s="26">
        <v>18.3</v>
      </c>
    </row>
    <row r="9" spans="1:14" x14ac:dyDescent="0.2">
      <c r="A9" s="25" t="s">
        <v>53</v>
      </c>
      <c r="B9" s="4">
        <v>21.3</v>
      </c>
      <c r="C9" s="4">
        <v>20.2</v>
      </c>
      <c r="D9" s="4">
        <v>19.8</v>
      </c>
      <c r="E9" s="4">
        <v>20.3</v>
      </c>
      <c r="F9" s="4">
        <v>20.100000000000001</v>
      </c>
      <c r="G9" s="4">
        <v>20.7</v>
      </c>
      <c r="H9" s="4">
        <v>19.5</v>
      </c>
      <c r="I9" s="4">
        <v>19.3</v>
      </c>
      <c r="J9" s="4">
        <v>19.3</v>
      </c>
      <c r="K9" s="4">
        <v>20.5</v>
      </c>
      <c r="L9" s="4">
        <v>20.3</v>
      </c>
      <c r="M9" s="4">
        <v>21</v>
      </c>
      <c r="N9" s="26">
        <v>20.5</v>
      </c>
    </row>
    <row r="10" spans="1:14" x14ac:dyDescent="0.2">
      <c r="A10" s="25" t="s">
        <v>54</v>
      </c>
      <c r="B10" s="4">
        <v>17.7</v>
      </c>
      <c r="C10" s="4">
        <v>16.899999999999999</v>
      </c>
      <c r="D10" s="4">
        <v>17.2</v>
      </c>
      <c r="E10" s="4">
        <v>16.600000000000001</v>
      </c>
      <c r="F10" s="4">
        <v>16.899999999999999</v>
      </c>
      <c r="G10" s="4">
        <v>17.100000000000001</v>
      </c>
      <c r="H10" s="4">
        <v>16.3</v>
      </c>
      <c r="I10" s="4">
        <v>15.6</v>
      </c>
      <c r="J10" s="4">
        <v>15.9</v>
      </c>
      <c r="K10" s="4">
        <v>16.2</v>
      </c>
      <c r="L10" s="4">
        <v>16.5</v>
      </c>
      <c r="M10" s="4">
        <v>17.3</v>
      </c>
      <c r="N10" s="26">
        <v>17.7</v>
      </c>
    </row>
    <row r="11" spans="1:14" x14ac:dyDescent="0.2">
      <c r="A11" s="27" t="s">
        <v>55</v>
      </c>
      <c r="B11" s="28">
        <v>19.600000000000001</v>
      </c>
      <c r="C11" s="28">
        <v>18.8</v>
      </c>
      <c r="D11" s="28">
        <v>18.600000000000001</v>
      </c>
      <c r="E11" s="28">
        <v>18.899999999999999</v>
      </c>
      <c r="F11" s="28">
        <v>17.899999999999999</v>
      </c>
      <c r="G11" s="28">
        <v>18.100000000000001</v>
      </c>
      <c r="H11" s="28">
        <v>18</v>
      </c>
      <c r="I11" s="28">
        <v>17.7</v>
      </c>
      <c r="J11" s="28">
        <v>17.8</v>
      </c>
      <c r="K11" s="28">
        <v>18.3</v>
      </c>
      <c r="L11" s="28">
        <v>18.5</v>
      </c>
      <c r="M11" s="28">
        <v>18.899999999999999</v>
      </c>
      <c r="N11" s="29">
        <v>18.8</v>
      </c>
    </row>
    <row r="12" spans="1:14" x14ac:dyDescent="0.2">
      <c r="A12" s="22" t="s">
        <v>56</v>
      </c>
      <c r="B12" s="23">
        <v>21.8</v>
      </c>
      <c r="C12" s="23">
        <v>20.5</v>
      </c>
      <c r="D12" s="23">
        <v>20.5</v>
      </c>
      <c r="E12" s="23">
        <v>20</v>
      </c>
      <c r="F12" s="23">
        <v>20</v>
      </c>
      <c r="G12" s="23">
        <v>19.7</v>
      </c>
      <c r="H12" s="23">
        <v>18.3</v>
      </c>
      <c r="I12" s="23">
        <v>18.399999999999999</v>
      </c>
      <c r="J12" s="23">
        <v>18.600000000000001</v>
      </c>
      <c r="K12" s="23">
        <v>19.2</v>
      </c>
      <c r="L12" s="23">
        <v>19.5</v>
      </c>
      <c r="M12" s="23">
        <v>19.8</v>
      </c>
      <c r="N12" s="24">
        <v>20.7</v>
      </c>
    </row>
    <row r="13" spans="1:14" x14ac:dyDescent="0.2">
      <c r="A13" s="25" t="s">
        <v>57</v>
      </c>
      <c r="B13" s="4">
        <v>18.399999999999999</v>
      </c>
      <c r="C13" s="4">
        <v>17.8</v>
      </c>
      <c r="D13" s="4">
        <v>17.7</v>
      </c>
      <c r="E13" s="4">
        <v>17.5</v>
      </c>
      <c r="F13" s="4">
        <v>17.2</v>
      </c>
      <c r="G13" s="4">
        <v>16.7</v>
      </c>
      <c r="H13" s="4">
        <v>16.2</v>
      </c>
      <c r="I13" s="4">
        <v>15.5</v>
      </c>
      <c r="J13" s="4">
        <v>15</v>
      </c>
      <c r="K13" s="4">
        <v>15.4</v>
      </c>
      <c r="L13" s="4">
        <v>15.9</v>
      </c>
      <c r="M13" s="4">
        <v>16.3</v>
      </c>
      <c r="N13" s="26">
        <v>16.600000000000001</v>
      </c>
    </row>
    <row r="14" spans="1:14" x14ac:dyDescent="0.2">
      <c r="A14" s="25" t="s">
        <v>58</v>
      </c>
      <c r="B14" s="4">
        <v>19.8</v>
      </c>
      <c r="C14" s="4">
        <v>19.2</v>
      </c>
      <c r="D14" s="4">
        <v>18.899999999999999</v>
      </c>
      <c r="E14" s="4">
        <v>18.8</v>
      </c>
      <c r="F14" s="4">
        <v>18.5</v>
      </c>
      <c r="G14" s="4">
        <v>18.2</v>
      </c>
      <c r="H14" s="4">
        <v>17.8</v>
      </c>
      <c r="I14" s="4">
        <v>17.3</v>
      </c>
      <c r="J14" s="4">
        <v>16.7</v>
      </c>
      <c r="K14" s="4">
        <v>17.3</v>
      </c>
      <c r="L14" s="4">
        <v>17.8</v>
      </c>
      <c r="M14" s="4">
        <v>18</v>
      </c>
      <c r="N14" s="26">
        <v>19.2</v>
      </c>
    </row>
    <row r="15" spans="1:14" x14ac:dyDescent="0.2">
      <c r="A15" s="25" t="s">
        <v>59</v>
      </c>
      <c r="B15" s="4">
        <v>19</v>
      </c>
      <c r="C15" s="4">
        <v>18.2</v>
      </c>
      <c r="D15" s="4">
        <v>18.3</v>
      </c>
      <c r="E15" s="4">
        <v>18.100000000000001</v>
      </c>
      <c r="F15" s="4">
        <v>17.7</v>
      </c>
      <c r="G15" s="4">
        <v>17.399999999999999</v>
      </c>
      <c r="H15" s="4">
        <v>17</v>
      </c>
      <c r="I15" s="4">
        <v>16.399999999999999</v>
      </c>
      <c r="J15" s="4">
        <v>16</v>
      </c>
      <c r="K15" s="4">
        <v>16.7</v>
      </c>
      <c r="L15" s="4">
        <v>16.899999999999999</v>
      </c>
      <c r="M15" s="4">
        <v>17.100000000000001</v>
      </c>
      <c r="N15" s="26">
        <v>17.7</v>
      </c>
    </row>
    <row r="16" spans="1:14" x14ac:dyDescent="0.2">
      <c r="A16" s="27" t="s">
        <v>60</v>
      </c>
      <c r="B16" s="28">
        <v>19.399999999999999</v>
      </c>
      <c r="C16" s="28">
        <v>18.3</v>
      </c>
      <c r="D16" s="28">
        <v>18.100000000000001</v>
      </c>
      <c r="E16" s="28">
        <v>18.2</v>
      </c>
      <c r="F16" s="28">
        <v>18.3</v>
      </c>
      <c r="G16" s="28">
        <v>18</v>
      </c>
      <c r="H16" s="28">
        <v>17.3</v>
      </c>
      <c r="I16" s="28">
        <v>16.5</v>
      </c>
      <c r="J16" s="28">
        <v>16.399999999999999</v>
      </c>
      <c r="K16" s="28">
        <v>16.7</v>
      </c>
      <c r="L16" s="28">
        <v>16.8</v>
      </c>
      <c r="M16" s="28">
        <v>16.899999999999999</v>
      </c>
      <c r="N16" s="29">
        <v>17.8</v>
      </c>
    </row>
    <row r="18" spans="1:14" x14ac:dyDescent="0.2">
      <c r="A18" s="21" t="s">
        <v>62</v>
      </c>
      <c r="B18" s="21" t="s">
        <v>34</v>
      </c>
      <c r="C18" s="21" t="s">
        <v>35</v>
      </c>
      <c r="D18" s="21" t="s">
        <v>36</v>
      </c>
      <c r="E18" s="21" t="s">
        <v>37</v>
      </c>
      <c r="F18" s="21" t="s">
        <v>38</v>
      </c>
      <c r="G18" s="21" t="s">
        <v>39</v>
      </c>
      <c r="H18" s="21" t="s">
        <v>40</v>
      </c>
      <c r="I18" s="21" t="s">
        <v>41</v>
      </c>
      <c r="J18" s="21" t="s">
        <v>42</v>
      </c>
      <c r="K18" s="21" t="s">
        <v>43</v>
      </c>
      <c r="L18" s="21" t="s">
        <v>44</v>
      </c>
      <c r="M18" s="21" t="s">
        <v>61</v>
      </c>
      <c r="N18" s="21" t="s">
        <v>45</v>
      </c>
    </row>
    <row r="19" spans="1:14" x14ac:dyDescent="0.2">
      <c r="A19" s="22" t="s">
        <v>46</v>
      </c>
      <c r="B19" s="30">
        <v>100</v>
      </c>
      <c r="C19" s="31">
        <f>$B19*C2/$B2</f>
        <v>96.335078534031396</v>
      </c>
      <c r="D19" s="31">
        <f t="shared" ref="D19:N19" si="0">$B19*D2/$B2</f>
        <v>96.335078534031396</v>
      </c>
      <c r="E19" s="31">
        <f t="shared" si="0"/>
        <v>98.429319371727743</v>
      </c>
      <c r="F19" s="31">
        <f t="shared" si="0"/>
        <v>100.52356020942408</v>
      </c>
      <c r="G19" s="31">
        <f t="shared" si="0"/>
        <v>104.71204188481674</v>
      </c>
      <c r="H19" s="31">
        <f t="shared" si="0"/>
        <v>100.52356020942408</v>
      </c>
      <c r="I19" s="31">
        <f t="shared" si="0"/>
        <v>99.47643979057591</v>
      </c>
      <c r="J19" s="31">
        <f t="shared" si="0"/>
        <v>100</v>
      </c>
      <c r="K19" s="31">
        <f t="shared" si="0"/>
        <v>96.335078534031396</v>
      </c>
      <c r="L19" s="31">
        <f t="shared" si="0"/>
        <v>103.1413612565445</v>
      </c>
      <c r="M19" s="31">
        <f t="shared" si="0"/>
        <v>103.66492146596858</v>
      </c>
      <c r="N19" s="32">
        <f t="shared" si="0"/>
        <v>105.75916230366491</v>
      </c>
    </row>
    <row r="20" spans="1:14" x14ac:dyDescent="0.2">
      <c r="A20" s="25" t="s">
        <v>47</v>
      </c>
      <c r="B20" s="33">
        <v>100</v>
      </c>
      <c r="C20" s="5">
        <f t="shared" ref="C20:N33" si="1">$B20*C3/$B3</f>
        <v>100.51813471502589</v>
      </c>
      <c r="D20" s="5">
        <f t="shared" si="1"/>
        <v>100</v>
      </c>
      <c r="E20" s="5">
        <f t="shared" si="1"/>
        <v>101.0362694300518</v>
      </c>
      <c r="F20" s="5">
        <f t="shared" si="1"/>
        <v>101.55440414507773</v>
      </c>
      <c r="G20" s="5">
        <f t="shared" si="1"/>
        <v>100</v>
      </c>
      <c r="H20" s="5">
        <f t="shared" si="1"/>
        <v>98.445595854922274</v>
      </c>
      <c r="I20" s="5">
        <f t="shared" si="1"/>
        <v>99.481865284974091</v>
      </c>
      <c r="J20" s="5">
        <f t="shared" si="1"/>
        <v>99.481865284974091</v>
      </c>
      <c r="K20" s="5">
        <f t="shared" si="1"/>
        <v>97.927461139896351</v>
      </c>
      <c r="L20" s="5">
        <f t="shared" si="1"/>
        <v>103.10880829015542</v>
      </c>
      <c r="M20" s="5">
        <f t="shared" si="1"/>
        <v>101.0362694300518</v>
      </c>
      <c r="N20" s="34">
        <f t="shared" si="1"/>
        <v>100.51813471502589</v>
      </c>
    </row>
    <row r="21" spans="1:14" x14ac:dyDescent="0.2">
      <c r="A21" s="25" t="s">
        <v>48</v>
      </c>
      <c r="B21" s="33">
        <v>100</v>
      </c>
      <c r="C21" s="5">
        <f t="shared" si="1"/>
        <v>96.907216494845372</v>
      </c>
      <c r="D21" s="5">
        <f t="shared" si="1"/>
        <v>96.391752577319593</v>
      </c>
      <c r="E21" s="5">
        <f t="shared" si="1"/>
        <v>100</v>
      </c>
      <c r="F21" s="5">
        <f t="shared" si="1"/>
        <v>99.484536082474236</v>
      </c>
      <c r="G21" s="5">
        <f t="shared" si="1"/>
        <v>98.453608247422693</v>
      </c>
      <c r="H21" s="5">
        <f t="shared" si="1"/>
        <v>97.938144329896915</v>
      </c>
      <c r="I21" s="5">
        <f t="shared" si="1"/>
        <v>98.453608247422693</v>
      </c>
      <c r="J21" s="5">
        <f t="shared" si="1"/>
        <v>94.845360824742258</v>
      </c>
      <c r="K21" s="5">
        <f t="shared" si="1"/>
        <v>96.907216494845372</v>
      </c>
      <c r="L21" s="5">
        <f t="shared" si="1"/>
        <v>96.907216494845372</v>
      </c>
      <c r="M21" s="5">
        <f t="shared" si="1"/>
        <v>98.969072164948457</v>
      </c>
      <c r="N21" s="34">
        <f t="shared" si="1"/>
        <v>99.484536082474236</v>
      </c>
    </row>
    <row r="22" spans="1:14" x14ac:dyDescent="0.2">
      <c r="A22" s="25" t="s">
        <v>49</v>
      </c>
      <c r="B22" s="33">
        <v>100</v>
      </c>
      <c r="C22" s="5">
        <f t="shared" si="1"/>
        <v>101.44230769230769</v>
      </c>
      <c r="D22" s="5">
        <f t="shared" si="1"/>
        <v>100.48076923076923</v>
      </c>
      <c r="E22" s="5">
        <f t="shared" si="1"/>
        <v>96.634615384615387</v>
      </c>
      <c r="F22" s="5">
        <f t="shared" si="1"/>
        <v>95.192307692307693</v>
      </c>
      <c r="G22" s="5">
        <f t="shared" si="1"/>
        <v>98.076923076923066</v>
      </c>
      <c r="H22" s="5">
        <f t="shared" si="1"/>
        <v>99.038461538461533</v>
      </c>
      <c r="I22" s="5">
        <f t="shared" si="1"/>
        <v>99.519230769230759</v>
      </c>
      <c r="J22" s="5">
        <f t="shared" si="1"/>
        <v>100</v>
      </c>
      <c r="K22" s="5">
        <f t="shared" si="1"/>
        <v>99.519230769230759</v>
      </c>
      <c r="L22" s="5">
        <f t="shared" si="1"/>
        <v>98.076923076923066</v>
      </c>
      <c r="M22" s="5">
        <f t="shared" si="1"/>
        <v>101.44230769230769</v>
      </c>
      <c r="N22" s="34">
        <f t="shared" si="1"/>
        <v>99.038461538461533</v>
      </c>
    </row>
    <row r="23" spans="1:14" x14ac:dyDescent="0.2">
      <c r="A23" s="27" t="s">
        <v>50</v>
      </c>
      <c r="B23" s="35">
        <v>100</v>
      </c>
      <c r="C23" s="36">
        <f t="shared" si="1"/>
        <v>98.421052631578945</v>
      </c>
      <c r="D23" s="36">
        <f t="shared" si="1"/>
        <v>98.94736842105263</v>
      </c>
      <c r="E23" s="36">
        <f t="shared" si="1"/>
        <v>101.05263157894737</v>
      </c>
      <c r="F23" s="36">
        <f t="shared" si="1"/>
        <v>102.63157894736842</v>
      </c>
      <c r="G23" s="36">
        <f t="shared" si="1"/>
        <v>103.68421052631579</v>
      </c>
      <c r="H23" s="36">
        <f t="shared" si="1"/>
        <v>101.05263157894737</v>
      </c>
      <c r="I23" s="36">
        <f t="shared" si="1"/>
        <v>100</v>
      </c>
      <c r="J23" s="36">
        <f t="shared" si="1"/>
        <v>100.5263157894737</v>
      </c>
      <c r="K23" s="36">
        <f t="shared" si="1"/>
        <v>95.26315789473685</v>
      </c>
      <c r="L23" s="36">
        <f t="shared" si="1"/>
        <v>99.473684210526301</v>
      </c>
      <c r="M23" s="36">
        <f t="shared" si="1"/>
        <v>96.842105263157876</v>
      </c>
      <c r="N23" s="37">
        <f t="shared" si="1"/>
        <v>100.5263157894737</v>
      </c>
    </row>
    <row r="24" spans="1:14" x14ac:dyDescent="0.2">
      <c r="A24" s="22" t="s">
        <v>51</v>
      </c>
      <c r="B24" s="30">
        <v>100</v>
      </c>
      <c r="C24" s="31">
        <f t="shared" si="1"/>
        <v>95.852534562211986</v>
      </c>
      <c r="D24" s="31">
        <f t="shared" si="1"/>
        <v>94.930875576036868</v>
      </c>
      <c r="E24" s="31">
        <f t="shared" si="1"/>
        <v>97.235023041474662</v>
      </c>
      <c r="F24" s="31">
        <f t="shared" si="1"/>
        <v>91.244239631336413</v>
      </c>
      <c r="G24" s="31">
        <f t="shared" si="1"/>
        <v>91.244239631336413</v>
      </c>
      <c r="H24" s="31">
        <f t="shared" si="1"/>
        <v>87.557603686635943</v>
      </c>
      <c r="I24" s="31">
        <f t="shared" si="1"/>
        <v>85.253456221198164</v>
      </c>
      <c r="J24" s="31">
        <f t="shared" si="1"/>
        <v>82.94930875576037</v>
      </c>
      <c r="K24" s="31">
        <f t="shared" si="1"/>
        <v>84.331797235023046</v>
      </c>
      <c r="L24" s="31">
        <f t="shared" si="1"/>
        <v>85.714285714285722</v>
      </c>
      <c r="M24" s="31">
        <f t="shared" si="1"/>
        <v>85.253456221198164</v>
      </c>
      <c r="N24" s="32">
        <f t="shared" si="1"/>
        <v>88.018433179723516</v>
      </c>
    </row>
    <row r="25" spans="1:14" x14ac:dyDescent="0.2">
      <c r="A25" s="25" t="s">
        <v>52</v>
      </c>
      <c r="B25" s="33">
        <v>100</v>
      </c>
      <c r="C25" s="5">
        <f t="shared" si="1"/>
        <v>94.594594594594597</v>
      </c>
      <c r="D25" s="5">
        <f t="shared" si="1"/>
        <v>93.513513513513516</v>
      </c>
      <c r="E25" s="5">
        <f t="shared" si="1"/>
        <v>94.594594594594597</v>
      </c>
      <c r="F25" s="5">
        <f t="shared" si="1"/>
        <v>92.432432432432449</v>
      </c>
      <c r="G25" s="5">
        <f t="shared" si="1"/>
        <v>92.972972972972968</v>
      </c>
      <c r="H25" s="5">
        <f t="shared" si="1"/>
        <v>92.432432432432449</v>
      </c>
      <c r="I25" s="5">
        <f t="shared" si="1"/>
        <v>86.486486486486484</v>
      </c>
      <c r="J25" s="5">
        <f t="shared" si="1"/>
        <v>90.270270270270274</v>
      </c>
      <c r="K25" s="5">
        <f t="shared" si="1"/>
        <v>94.594594594594597</v>
      </c>
      <c r="L25" s="5">
        <f t="shared" si="1"/>
        <v>95.135135135135144</v>
      </c>
      <c r="M25" s="5">
        <f t="shared" si="1"/>
        <v>98.378378378378372</v>
      </c>
      <c r="N25" s="34">
        <f t="shared" si="1"/>
        <v>98.918918918918919</v>
      </c>
    </row>
    <row r="26" spans="1:14" x14ac:dyDescent="0.2">
      <c r="A26" s="25" t="s">
        <v>53</v>
      </c>
      <c r="B26" s="33">
        <v>100</v>
      </c>
      <c r="C26" s="5">
        <f t="shared" si="1"/>
        <v>94.835680751173712</v>
      </c>
      <c r="D26" s="5">
        <f t="shared" si="1"/>
        <v>92.957746478873233</v>
      </c>
      <c r="E26" s="5">
        <f t="shared" si="1"/>
        <v>95.305164319248817</v>
      </c>
      <c r="F26" s="5">
        <f t="shared" si="1"/>
        <v>94.366197183098606</v>
      </c>
      <c r="G26" s="5">
        <f t="shared" si="1"/>
        <v>97.183098591549296</v>
      </c>
      <c r="H26" s="5">
        <f t="shared" si="1"/>
        <v>91.549295774647888</v>
      </c>
      <c r="I26" s="5">
        <f t="shared" si="1"/>
        <v>90.610328638497649</v>
      </c>
      <c r="J26" s="5">
        <f t="shared" si="1"/>
        <v>90.610328638497649</v>
      </c>
      <c r="K26" s="5">
        <f t="shared" si="1"/>
        <v>96.244131455399057</v>
      </c>
      <c r="L26" s="5">
        <f t="shared" si="1"/>
        <v>95.305164319248817</v>
      </c>
      <c r="M26" s="5">
        <f t="shared" si="1"/>
        <v>98.591549295774641</v>
      </c>
      <c r="N26" s="34">
        <f t="shared" si="1"/>
        <v>96.244131455399057</v>
      </c>
    </row>
    <row r="27" spans="1:14" x14ac:dyDescent="0.2">
      <c r="A27" s="25" t="s">
        <v>54</v>
      </c>
      <c r="B27" s="33">
        <v>100</v>
      </c>
      <c r="C27" s="5">
        <f t="shared" si="1"/>
        <v>95.480225988700553</v>
      </c>
      <c r="D27" s="5">
        <f t="shared" si="1"/>
        <v>97.175141242937855</v>
      </c>
      <c r="E27" s="5">
        <f t="shared" si="1"/>
        <v>93.785310734463295</v>
      </c>
      <c r="F27" s="5">
        <f t="shared" si="1"/>
        <v>95.480225988700553</v>
      </c>
      <c r="G27" s="5">
        <f t="shared" si="1"/>
        <v>96.61016949152544</v>
      </c>
      <c r="H27" s="5">
        <f t="shared" si="1"/>
        <v>92.090395480225993</v>
      </c>
      <c r="I27" s="5">
        <f t="shared" si="1"/>
        <v>88.13559322033899</v>
      </c>
      <c r="J27" s="5">
        <f t="shared" si="1"/>
        <v>89.830508474576277</v>
      </c>
      <c r="K27" s="5">
        <f t="shared" si="1"/>
        <v>91.525423728813564</v>
      </c>
      <c r="L27" s="5">
        <f t="shared" si="1"/>
        <v>93.220338983050851</v>
      </c>
      <c r="M27" s="5">
        <f t="shared" si="1"/>
        <v>97.740112994350284</v>
      </c>
      <c r="N27" s="34">
        <f t="shared" si="1"/>
        <v>100</v>
      </c>
    </row>
    <row r="28" spans="1:14" x14ac:dyDescent="0.2">
      <c r="A28" s="27" t="s">
        <v>55</v>
      </c>
      <c r="B28" s="35">
        <v>100</v>
      </c>
      <c r="C28" s="36">
        <f t="shared" si="1"/>
        <v>95.918367346938766</v>
      </c>
      <c r="D28" s="36">
        <f t="shared" si="1"/>
        <v>94.897959183673478</v>
      </c>
      <c r="E28" s="36">
        <f t="shared" si="1"/>
        <v>96.428571428571416</v>
      </c>
      <c r="F28" s="36">
        <f t="shared" si="1"/>
        <v>91.326530612244881</v>
      </c>
      <c r="G28" s="36">
        <f t="shared" si="1"/>
        <v>92.34693877551021</v>
      </c>
      <c r="H28" s="36">
        <f t="shared" si="1"/>
        <v>91.836734693877546</v>
      </c>
      <c r="I28" s="36">
        <f t="shared" si="1"/>
        <v>90.306122448979579</v>
      </c>
      <c r="J28" s="36">
        <f t="shared" si="1"/>
        <v>90.816326530612244</v>
      </c>
      <c r="K28" s="36">
        <f t="shared" si="1"/>
        <v>93.367346938775498</v>
      </c>
      <c r="L28" s="36">
        <f t="shared" si="1"/>
        <v>94.387755102040813</v>
      </c>
      <c r="M28" s="36">
        <f t="shared" si="1"/>
        <v>96.428571428571416</v>
      </c>
      <c r="N28" s="37">
        <f t="shared" si="1"/>
        <v>95.918367346938766</v>
      </c>
    </row>
    <row r="29" spans="1:14" x14ac:dyDescent="0.2">
      <c r="A29" s="22" t="s">
        <v>56</v>
      </c>
      <c r="B29" s="30">
        <v>100</v>
      </c>
      <c r="C29" s="31">
        <f t="shared" si="1"/>
        <v>94.036697247706414</v>
      </c>
      <c r="D29" s="31">
        <f t="shared" si="1"/>
        <v>94.036697247706414</v>
      </c>
      <c r="E29" s="31">
        <f t="shared" si="1"/>
        <v>91.743119266055047</v>
      </c>
      <c r="F29" s="31">
        <f t="shared" si="1"/>
        <v>91.743119266055047</v>
      </c>
      <c r="G29" s="31">
        <f t="shared" si="1"/>
        <v>90.366972477064223</v>
      </c>
      <c r="H29" s="31">
        <f t="shared" si="1"/>
        <v>83.944954128440358</v>
      </c>
      <c r="I29" s="31">
        <f t="shared" si="1"/>
        <v>84.403669724770623</v>
      </c>
      <c r="J29" s="31">
        <f t="shared" si="1"/>
        <v>85.321100917431195</v>
      </c>
      <c r="K29" s="31">
        <f t="shared" si="1"/>
        <v>88.073394495412842</v>
      </c>
      <c r="L29" s="31">
        <f t="shared" si="1"/>
        <v>89.449541284403665</v>
      </c>
      <c r="M29" s="31">
        <f t="shared" si="1"/>
        <v>90.825688073394488</v>
      </c>
      <c r="N29" s="32">
        <f t="shared" si="1"/>
        <v>94.954128440366972</v>
      </c>
    </row>
    <row r="30" spans="1:14" x14ac:dyDescent="0.2">
      <c r="A30" s="25" t="s">
        <v>57</v>
      </c>
      <c r="B30" s="33">
        <v>100</v>
      </c>
      <c r="C30" s="5">
        <f t="shared" si="1"/>
        <v>96.739130434782609</v>
      </c>
      <c r="D30" s="5">
        <f t="shared" si="1"/>
        <v>96.195652173913047</v>
      </c>
      <c r="E30" s="5">
        <f t="shared" si="1"/>
        <v>95.108695652173921</v>
      </c>
      <c r="F30" s="5">
        <f t="shared" si="1"/>
        <v>93.478260869565219</v>
      </c>
      <c r="G30" s="5">
        <f t="shared" si="1"/>
        <v>90.760869565217405</v>
      </c>
      <c r="H30" s="5">
        <f t="shared" si="1"/>
        <v>88.043478260869577</v>
      </c>
      <c r="I30" s="5">
        <f t="shared" si="1"/>
        <v>84.239130434782609</v>
      </c>
      <c r="J30" s="5">
        <f t="shared" si="1"/>
        <v>81.521739130434796</v>
      </c>
      <c r="K30" s="5">
        <f>$B30*K13/$B13</f>
        <v>83.695652173913047</v>
      </c>
      <c r="L30" s="5">
        <f t="shared" si="1"/>
        <v>86.413043478260875</v>
      </c>
      <c r="M30" s="5">
        <f t="shared" si="1"/>
        <v>88.58695652173914</v>
      </c>
      <c r="N30" s="34">
        <f t="shared" si="1"/>
        <v>90.217391304347842</v>
      </c>
    </row>
    <row r="31" spans="1:14" x14ac:dyDescent="0.2">
      <c r="A31" s="25" t="s">
        <v>58</v>
      </c>
      <c r="B31" s="33">
        <v>100</v>
      </c>
      <c r="C31" s="5">
        <f t="shared" si="1"/>
        <v>96.969696969696969</v>
      </c>
      <c r="D31" s="5">
        <f t="shared" si="1"/>
        <v>95.454545454545439</v>
      </c>
      <c r="E31" s="5">
        <f t="shared" si="1"/>
        <v>94.949494949494948</v>
      </c>
      <c r="F31" s="5">
        <f t="shared" si="1"/>
        <v>93.434343434343432</v>
      </c>
      <c r="G31" s="5">
        <f t="shared" si="1"/>
        <v>91.919191919191917</v>
      </c>
      <c r="H31" s="5">
        <f t="shared" si="1"/>
        <v>89.898989898989896</v>
      </c>
      <c r="I31" s="5">
        <f t="shared" si="1"/>
        <v>87.37373737373737</v>
      </c>
      <c r="J31" s="5">
        <f t="shared" si="1"/>
        <v>84.343434343434339</v>
      </c>
      <c r="K31" s="5">
        <f t="shared" si="1"/>
        <v>87.37373737373737</v>
      </c>
      <c r="L31" s="5">
        <f t="shared" si="1"/>
        <v>89.898989898989896</v>
      </c>
      <c r="M31" s="5">
        <f t="shared" si="1"/>
        <v>90.909090909090907</v>
      </c>
      <c r="N31" s="34">
        <f t="shared" si="1"/>
        <v>96.969696969696969</v>
      </c>
    </row>
    <row r="32" spans="1:14" x14ac:dyDescent="0.2">
      <c r="A32" s="25" t="s">
        <v>59</v>
      </c>
      <c r="B32" s="33">
        <v>100</v>
      </c>
      <c r="C32" s="5">
        <f t="shared" si="1"/>
        <v>95.78947368421052</v>
      </c>
      <c r="D32" s="5">
        <f t="shared" si="1"/>
        <v>96.315789473684205</v>
      </c>
      <c r="E32" s="5">
        <f t="shared" si="1"/>
        <v>95.26315789473685</v>
      </c>
      <c r="F32" s="5">
        <f t="shared" si="1"/>
        <v>93.15789473684211</v>
      </c>
      <c r="G32" s="5">
        <f t="shared" si="1"/>
        <v>91.578947368421041</v>
      </c>
      <c r="H32" s="5">
        <f t="shared" si="1"/>
        <v>89.473684210526315</v>
      </c>
      <c r="I32" s="5">
        <f t="shared" si="1"/>
        <v>86.315789473684205</v>
      </c>
      <c r="J32" s="5">
        <f t="shared" si="1"/>
        <v>84.21052631578948</v>
      </c>
      <c r="K32" s="5">
        <f t="shared" si="1"/>
        <v>87.89473684210526</v>
      </c>
      <c r="L32" s="5">
        <f t="shared" si="1"/>
        <v>88.947368421052616</v>
      </c>
      <c r="M32" s="5">
        <f t="shared" si="1"/>
        <v>90.000000000000014</v>
      </c>
      <c r="N32" s="34">
        <f t="shared" si="1"/>
        <v>93.15789473684211</v>
      </c>
    </row>
    <row r="33" spans="1:14" x14ac:dyDescent="0.2">
      <c r="A33" s="27" t="s">
        <v>60</v>
      </c>
      <c r="B33" s="35">
        <v>100</v>
      </c>
      <c r="C33" s="36">
        <f t="shared" si="1"/>
        <v>94.329896907216508</v>
      </c>
      <c r="D33" s="36">
        <f t="shared" si="1"/>
        <v>93.298969072164965</v>
      </c>
      <c r="E33" s="36">
        <f t="shared" si="1"/>
        <v>93.814432989690729</v>
      </c>
      <c r="F33" s="36">
        <f t="shared" si="1"/>
        <v>94.329896907216508</v>
      </c>
      <c r="G33" s="36">
        <f t="shared" si="1"/>
        <v>92.783505154639187</v>
      </c>
      <c r="H33" s="36">
        <f t="shared" si="1"/>
        <v>89.175257731958766</v>
      </c>
      <c r="I33" s="36">
        <f t="shared" si="1"/>
        <v>85.051546391752581</v>
      </c>
      <c r="J33" s="36">
        <f t="shared" si="1"/>
        <v>84.536082474226802</v>
      </c>
      <c r="K33" s="36">
        <f t="shared" si="1"/>
        <v>86.082474226804123</v>
      </c>
      <c r="L33" s="36">
        <f t="shared" si="1"/>
        <v>86.597938144329902</v>
      </c>
      <c r="M33" s="36">
        <f t="shared" si="1"/>
        <v>87.113402061855666</v>
      </c>
      <c r="N33" s="37">
        <f t="shared" si="1"/>
        <v>91.75257731958763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inoc</vt:lpstr>
      <vt:lpstr>indiv carriage</vt:lpstr>
      <vt:lpstr>weight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2024-12-09T21:23:51Z</dcterms:modified>
</cp:coreProperties>
</file>