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B70F511A-16A3-8D40-A3E9-4B9C306258BF}" xr6:coauthVersionLast="47" xr6:coauthVersionMax="47" xr10:uidLastSave="{00000000-0000-0000-0000-000000000000}"/>
  <bookViews>
    <workbookView xWindow="39840" yWindow="1540" windowWidth="28800" windowHeight="17500" xr2:uid="{05D28018-5EC7-B748-ACA7-09DD0AD3B70C}"/>
  </bookViews>
  <sheets>
    <sheet name="dose" sheetId="4" r:id="rId1"/>
    <sheet name="organs post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0" i="4" l="1"/>
  <c r="N2" i="4"/>
  <c r="M2" i="4"/>
  <c r="I119" i="5"/>
  <c r="I118" i="5"/>
  <c r="I117" i="5"/>
  <c r="I116" i="5"/>
  <c r="I114" i="5"/>
  <c r="I113" i="5"/>
  <c r="I106" i="5"/>
  <c r="I107" i="5"/>
  <c r="I108" i="5"/>
  <c r="I109" i="5"/>
  <c r="I110" i="5"/>
  <c r="I105" i="5"/>
  <c r="I104" i="5"/>
  <c r="I98" i="5"/>
  <c r="I99" i="5"/>
  <c r="I100" i="5"/>
  <c r="I101" i="5"/>
  <c r="I97" i="5"/>
  <c r="I95" i="5"/>
  <c r="I90" i="5"/>
  <c r="I91" i="5"/>
  <c r="I92" i="5"/>
  <c r="I89" i="5"/>
  <c r="I86" i="5"/>
  <c r="I81" i="5"/>
  <c r="I82" i="5"/>
  <c r="I83" i="5"/>
  <c r="I80" i="5"/>
  <c r="I79" i="5"/>
  <c r="I78" i="5"/>
  <c r="I77" i="5"/>
  <c r="I70" i="5"/>
  <c r="I72" i="5"/>
  <c r="I73" i="5"/>
  <c r="I74" i="5"/>
  <c r="I71" i="5"/>
  <c r="I69" i="5"/>
  <c r="I64" i="5"/>
  <c r="I65" i="5"/>
  <c r="I66" i="5"/>
  <c r="I63" i="5"/>
  <c r="I61" i="5"/>
  <c r="I56" i="5"/>
  <c r="I57" i="5"/>
  <c r="I58" i="5"/>
  <c r="I55" i="5"/>
  <c r="I54" i="5"/>
  <c r="I53" i="5"/>
  <c r="I46" i="5"/>
  <c r="I47" i="5"/>
  <c r="I48" i="5"/>
  <c r="I49" i="5"/>
  <c r="I50" i="5"/>
  <c r="I45" i="5"/>
  <c r="I31" i="5"/>
  <c r="I32" i="5"/>
  <c r="I33" i="5"/>
  <c r="I34" i="5"/>
  <c r="I30" i="5"/>
  <c r="I26" i="5"/>
  <c r="I27" i="5"/>
  <c r="I25" i="5"/>
  <c r="I24" i="5"/>
  <c r="I23" i="5"/>
  <c r="I18" i="5"/>
  <c r="I19" i="5"/>
  <c r="I20" i="5"/>
  <c r="I17" i="5"/>
  <c r="I16" i="5"/>
  <c r="I10" i="5"/>
  <c r="I11" i="5"/>
  <c r="I12" i="5"/>
  <c r="I13" i="5"/>
  <c r="I9" i="5"/>
  <c r="I4" i="5"/>
  <c r="I5" i="5"/>
  <c r="I6" i="5"/>
  <c r="I3" i="5"/>
  <c r="G3" i="5"/>
  <c r="H97" i="5"/>
  <c r="H61" i="5"/>
  <c r="F119" i="5"/>
  <c r="F118" i="5"/>
  <c r="F117" i="5"/>
  <c r="F116" i="5"/>
  <c r="F115" i="5"/>
  <c r="B116" i="5"/>
  <c r="F110" i="5"/>
  <c r="F109" i="5"/>
  <c r="F108" i="5"/>
  <c r="F107" i="5"/>
  <c r="F106" i="5"/>
  <c r="F101" i="5"/>
  <c r="F100" i="5"/>
  <c r="F99" i="5"/>
  <c r="F98" i="5"/>
  <c r="F97" i="5"/>
  <c r="F92" i="5"/>
  <c r="F91" i="5"/>
  <c r="F90" i="5"/>
  <c r="F89" i="5"/>
  <c r="F88" i="5"/>
  <c r="F83" i="5"/>
  <c r="F82" i="5"/>
  <c r="F81" i="5"/>
  <c r="F80" i="5"/>
  <c r="F79" i="5"/>
  <c r="B79" i="5"/>
  <c r="F114" i="5"/>
  <c r="F105" i="5"/>
  <c r="F78" i="5"/>
  <c r="F74" i="5"/>
  <c r="F73" i="5"/>
  <c r="F72" i="5"/>
  <c r="F71" i="5"/>
  <c r="F70" i="5"/>
  <c r="B70" i="5"/>
  <c r="F66" i="5"/>
  <c r="F65" i="5"/>
  <c r="F64" i="5"/>
  <c r="F63" i="5"/>
  <c r="F62" i="5"/>
  <c r="F58" i="5"/>
  <c r="F57" i="5"/>
  <c r="F56" i="5"/>
  <c r="F55" i="5"/>
  <c r="F54" i="5"/>
  <c r="B54" i="5"/>
  <c r="F50" i="5"/>
  <c r="F49" i="5"/>
  <c r="F48" i="5"/>
  <c r="F47" i="5"/>
  <c r="F46" i="5"/>
  <c r="F42" i="5"/>
  <c r="F41" i="5"/>
  <c r="F40" i="5"/>
  <c r="F39" i="5"/>
  <c r="F38" i="5"/>
  <c r="F113" i="5"/>
  <c r="F104" i="5"/>
  <c r="B104" i="5"/>
  <c r="F95" i="5"/>
  <c r="F86" i="5"/>
  <c r="F77" i="5"/>
  <c r="F69" i="5"/>
  <c r="F61" i="5"/>
  <c r="F53" i="5"/>
  <c r="F45" i="5"/>
  <c r="F37" i="5"/>
  <c r="F34" i="5"/>
  <c r="F33" i="5"/>
  <c r="F32" i="5"/>
  <c r="F31" i="5"/>
  <c r="F30" i="5"/>
  <c r="F27" i="5"/>
  <c r="F26" i="5"/>
  <c r="F25" i="5"/>
  <c r="F24" i="5"/>
  <c r="F23" i="5"/>
  <c r="B16" i="5"/>
  <c r="B23" i="5"/>
  <c r="F20" i="5"/>
  <c r="F19" i="5"/>
  <c r="F18" i="5"/>
  <c r="F17" i="5"/>
  <c r="F16" i="5"/>
  <c r="F13" i="5"/>
  <c r="F12" i="5"/>
  <c r="F11" i="5"/>
  <c r="F10" i="5"/>
  <c r="F9" i="5"/>
  <c r="F6" i="5"/>
  <c r="F5" i="5"/>
  <c r="F4" i="5"/>
  <c r="F3" i="5"/>
  <c r="F2" i="5"/>
  <c r="L4" i="4"/>
  <c r="L3" i="4"/>
  <c r="L6" i="4"/>
  <c r="D119" i="5"/>
  <c r="H119" i="5" s="1"/>
  <c r="D118" i="5"/>
  <c r="H118" i="5" s="1"/>
  <c r="D117" i="5"/>
  <c r="H117" i="5" s="1"/>
  <c r="D116" i="5"/>
  <c r="H116" i="5" s="1"/>
  <c r="D115" i="5"/>
  <c r="D114" i="5"/>
  <c r="H114" i="5" s="1"/>
  <c r="D113" i="5"/>
  <c r="H113" i="5" s="1"/>
  <c r="D110" i="5"/>
  <c r="H110" i="5" s="1"/>
  <c r="D109" i="5"/>
  <c r="H109" i="5" s="1"/>
  <c r="D108" i="5"/>
  <c r="D107" i="5"/>
  <c r="H107" i="5" s="1"/>
  <c r="D106" i="5"/>
  <c r="H106" i="5" s="1"/>
  <c r="D105" i="5"/>
  <c r="D104" i="5"/>
  <c r="H104" i="5" s="1"/>
  <c r="D101" i="5"/>
  <c r="H101" i="5" s="1"/>
  <c r="D100" i="5"/>
  <c r="H100" i="5" s="1"/>
  <c r="D99" i="5"/>
  <c r="H99" i="5" s="1"/>
  <c r="D98" i="5"/>
  <c r="H98" i="5" s="1"/>
  <c r="D97" i="5"/>
  <c r="D96" i="5"/>
  <c r="D95" i="5"/>
  <c r="H95" i="5" s="1"/>
  <c r="D92" i="5"/>
  <c r="D91" i="5"/>
  <c r="D90" i="5"/>
  <c r="H90" i="5" s="1"/>
  <c r="D89" i="5"/>
  <c r="H89" i="5" s="1"/>
  <c r="D88" i="5"/>
  <c r="D87" i="5"/>
  <c r="D86" i="5"/>
  <c r="G86" i="5" s="1"/>
  <c r="D78" i="5"/>
  <c r="D83" i="5"/>
  <c r="H83" i="5" s="1"/>
  <c r="D82" i="5"/>
  <c r="H82" i="5" s="1"/>
  <c r="D81" i="5"/>
  <c r="D80" i="5"/>
  <c r="H80" i="5" s="1"/>
  <c r="D79" i="5"/>
  <c r="H79" i="5" s="1"/>
  <c r="D77" i="5"/>
  <c r="H77" i="5" s="1"/>
  <c r="D74" i="5"/>
  <c r="H74" i="5" s="1"/>
  <c r="D73" i="5"/>
  <c r="H73" i="5" s="1"/>
  <c r="D72" i="5"/>
  <c r="G72" i="5" s="1"/>
  <c r="D71" i="5"/>
  <c r="H71" i="5" s="1"/>
  <c r="D70" i="5"/>
  <c r="H70" i="5" s="1"/>
  <c r="D69" i="5"/>
  <c r="D66" i="5"/>
  <c r="H66" i="5" s="1"/>
  <c r="D65" i="5"/>
  <c r="D64" i="5"/>
  <c r="H64" i="5" s="1"/>
  <c r="D63" i="5"/>
  <c r="D62" i="5"/>
  <c r="D61" i="5"/>
  <c r="D58" i="5"/>
  <c r="G58" i="5" s="1"/>
  <c r="D57" i="5"/>
  <c r="H57" i="5" s="1"/>
  <c r="D56" i="5"/>
  <c r="H56" i="5" s="1"/>
  <c r="D55" i="5"/>
  <c r="H55" i="5" s="1"/>
  <c r="D54" i="5"/>
  <c r="H54" i="5" s="1"/>
  <c r="D53" i="5"/>
  <c r="H53" i="5" s="1"/>
  <c r="D50" i="5"/>
  <c r="H50" i="5" s="1"/>
  <c r="D49" i="5"/>
  <c r="H49" i="5" s="1"/>
  <c r="D48" i="5"/>
  <c r="H48" i="5" s="1"/>
  <c r="D47" i="5"/>
  <c r="H47" i="5" s="1"/>
  <c r="D46" i="5"/>
  <c r="H46" i="5" s="1"/>
  <c r="D45" i="5"/>
  <c r="H45" i="5" s="1"/>
  <c r="D37" i="5"/>
  <c r="H37" i="5" s="1"/>
  <c r="D42" i="5"/>
  <c r="H42" i="5" s="1"/>
  <c r="D41" i="5"/>
  <c r="H41" i="5" s="1"/>
  <c r="D40" i="5"/>
  <c r="H40" i="5" s="1"/>
  <c r="D39" i="5"/>
  <c r="H39" i="5" s="1"/>
  <c r="D38" i="5"/>
  <c r="H38" i="5" s="1"/>
  <c r="D34" i="5"/>
  <c r="H34" i="5" s="1"/>
  <c r="D33" i="5"/>
  <c r="H33" i="5" s="1"/>
  <c r="D32" i="5"/>
  <c r="H32" i="5" s="1"/>
  <c r="D31" i="5"/>
  <c r="H31" i="5" s="1"/>
  <c r="D30" i="5"/>
  <c r="H30" i="5" s="1"/>
  <c r="D27" i="5"/>
  <c r="H27" i="5" s="1"/>
  <c r="D26" i="5"/>
  <c r="H26" i="5" s="1"/>
  <c r="D25" i="5"/>
  <c r="H25" i="5" s="1"/>
  <c r="D24" i="5"/>
  <c r="D23" i="5"/>
  <c r="H23" i="5" s="1"/>
  <c r="D20" i="5"/>
  <c r="D19" i="5"/>
  <c r="H19" i="5" s="1"/>
  <c r="D18" i="5"/>
  <c r="H18" i="5" s="1"/>
  <c r="D17" i="5"/>
  <c r="H17" i="5" s="1"/>
  <c r="D16" i="5"/>
  <c r="H16" i="5" s="1"/>
  <c r="D13" i="5"/>
  <c r="H13" i="5" s="1"/>
  <c r="D12" i="5"/>
  <c r="G12" i="5" s="1"/>
  <c r="D11" i="5"/>
  <c r="G11" i="5" s="1"/>
  <c r="D10" i="5"/>
  <c r="H10" i="5" s="1"/>
  <c r="D9" i="5"/>
  <c r="G9" i="5" s="1"/>
  <c r="L5" i="4"/>
  <c r="L2" i="4"/>
  <c r="H91" i="5" l="1"/>
  <c r="H105" i="5"/>
  <c r="H69" i="5"/>
  <c r="G37" i="5"/>
  <c r="G113" i="5"/>
  <c r="H72" i="5"/>
  <c r="G10" i="5"/>
  <c r="H115" i="5"/>
  <c r="G119" i="5"/>
  <c r="G118" i="5"/>
  <c r="G117" i="5"/>
  <c r="G116" i="5"/>
  <c r="G115" i="5"/>
  <c r="H108" i="5"/>
  <c r="G110" i="5"/>
  <c r="G109" i="5"/>
  <c r="G108" i="5"/>
  <c r="G107" i="5"/>
  <c r="G106" i="5"/>
  <c r="G101" i="5"/>
  <c r="G100" i="5"/>
  <c r="G99" i="5"/>
  <c r="G98" i="5"/>
  <c r="G97" i="5"/>
  <c r="H92" i="5"/>
  <c r="H88" i="5"/>
  <c r="G92" i="5"/>
  <c r="G91" i="5"/>
  <c r="G90" i="5"/>
  <c r="G89" i="5"/>
  <c r="G88" i="5"/>
  <c r="H81" i="5"/>
  <c r="G83" i="5"/>
  <c r="G82" i="5"/>
  <c r="G81" i="5"/>
  <c r="G80" i="5"/>
  <c r="G79" i="5"/>
  <c r="G74" i="5"/>
  <c r="G73" i="5"/>
  <c r="G71" i="5"/>
  <c r="G70" i="5"/>
  <c r="H65" i="5"/>
  <c r="H63" i="5"/>
  <c r="H62" i="5"/>
  <c r="G66" i="5"/>
  <c r="G65" i="5"/>
  <c r="G64" i="5"/>
  <c r="G63" i="5"/>
  <c r="G62" i="5"/>
  <c r="H58" i="5"/>
  <c r="G57" i="5"/>
  <c r="G56" i="5"/>
  <c r="G55" i="5"/>
  <c r="G54" i="5"/>
  <c r="G50" i="5"/>
  <c r="G49" i="5"/>
  <c r="G48" i="5"/>
  <c r="G47" i="5"/>
  <c r="G46" i="5"/>
  <c r="G42" i="5"/>
  <c r="G41" i="5"/>
  <c r="G40" i="5"/>
  <c r="G39" i="5"/>
  <c r="G38" i="5"/>
  <c r="G114" i="5"/>
  <c r="G105" i="5"/>
  <c r="G104" i="5"/>
  <c r="G96" i="5"/>
  <c r="G95" i="5"/>
  <c r="G87" i="5"/>
  <c r="H86" i="5"/>
  <c r="H78" i="5"/>
  <c r="G78" i="5"/>
  <c r="G77" i="5"/>
  <c r="G69" i="5"/>
  <c r="G61" i="5"/>
  <c r="G53" i="5"/>
  <c r="G45" i="5"/>
  <c r="G34" i="5"/>
  <c r="G33" i="5"/>
  <c r="G32" i="5"/>
  <c r="G31" i="5"/>
  <c r="G30" i="5"/>
  <c r="G27" i="5"/>
  <c r="G26" i="5"/>
  <c r="G25" i="5"/>
  <c r="H24" i="5"/>
  <c r="G24" i="5"/>
  <c r="G23" i="5"/>
  <c r="H20" i="5"/>
  <c r="G20" i="5"/>
  <c r="G19" i="5"/>
  <c r="G18" i="5"/>
  <c r="G17" i="5"/>
  <c r="G16" i="5"/>
  <c r="G13" i="5"/>
  <c r="H12" i="5"/>
  <c r="H11" i="5"/>
  <c r="H9" i="5"/>
  <c r="D6" i="5"/>
  <c r="D5" i="5"/>
  <c r="D4" i="5"/>
  <c r="D3" i="5"/>
  <c r="D2" i="5"/>
  <c r="H2" i="5" l="1"/>
  <c r="G2" i="5"/>
  <c r="H6" i="5"/>
  <c r="G6" i="5"/>
  <c r="H5" i="5"/>
  <c r="G5" i="5"/>
  <c r="H4" i="5"/>
  <c r="G4" i="5"/>
  <c r="H3" i="5"/>
</calcChain>
</file>

<file path=xl/sharedStrings.xml><?xml version="1.0" encoding="utf-8"?>
<sst xmlns="http://schemas.openxmlformats.org/spreadsheetml/2006/main" count="224" uniqueCount="43">
  <si>
    <t>number of CFU (not diluted)</t>
  </si>
  <si>
    <t>mean in 10 µL</t>
  </si>
  <si>
    <t>Dilution factor</t>
  </si>
  <si>
    <t>Colony Count</t>
  </si>
  <si>
    <t>Dilution Factor</t>
  </si>
  <si>
    <t>Average CFUs</t>
  </si>
  <si>
    <t>CFUs/50uL</t>
  </si>
  <si>
    <t>OD reached</t>
  </si>
  <si>
    <t>stomach</t>
  </si>
  <si>
    <t>small intestine</t>
  </si>
  <si>
    <t>caecum</t>
  </si>
  <si>
    <t>colon</t>
  </si>
  <si>
    <t>feces</t>
  </si>
  <si>
    <t>Log10 CFU/g of organ</t>
  </si>
  <si>
    <t>feces 24h</t>
  </si>
  <si>
    <t>feces 48h</t>
  </si>
  <si>
    <t>Total amout of bacteria in organ</t>
  </si>
  <si>
    <t>BL012 STAMP 10^6 LB growth (VBM plates)</t>
  </si>
  <si>
    <t>Measured 8 in 250µL, divided by 25 to add in the table</t>
  </si>
  <si>
    <t xml:space="preserve">BL012 STAMP 10^6.1 24h mouse 1 </t>
  </si>
  <si>
    <t>BL012 STAMP 10^6.1 24h mouse 2</t>
  </si>
  <si>
    <t>BL012 STAMP 10^6.1 24h mouse 3</t>
  </si>
  <si>
    <t>BL012 STAMP 10^6.1 24h mouse 4</t>
  </si>
  <si>
    <t>BL012 STAMP 10^6.1 24h mouse 5</t>
  </si>
  <si>
    <t>BL012 STAMP 10^6.1 48h mouse 6</t>
  </si>
  <si>
    <t>BL012 STAMP 10^6.1 48h mouse 7</t>
  </si>
  <si>
    <t>BL012 STAMP 10^6.1 48h mouse 8</t>
  </si>
  <si>
    <t>BL012 STAMP 10^6.1 48h mouse 9</t>
  </si>
  <si>
    <t>BL012 STAMP 10^6.1 48h mouse 10</t>
  </si>
  <si>
    <t>BL012 STAMP 10^6.1 72h mouse 11</t>
  </si>
  <si>
    <t>BL012 STAMP 10^6.1 72h mouse 12</t>
  </si>
  <si>
    <t>BL012 STAMP 10^6.1 72h mouse 13</t>
  </si>
  <si>
    <t>BL012 STAMP 10^6.1 72h mouse 14</t>
  </si>
  <si>
    <t>BL012 STAMP 10^6.1 72h mouse 15</t>
  </si>
  <si>
    <t>Measured 17 in 250µL, divided by 25 to add in the table</t>
  </si>
  <si>
    <t>organ weights (mg)</t>
  </si>
  <si>
    <t>Measured 28 in 250µL, divided by 25 to add in the table</t>
  </si>
  <si>
    <t>Measured 23 in 250µL, divided by 25 to add in the table</t>
  </si>
  <si>
    <t>feces 48h - not collected</t>
  </si>
  <si>
    <t>Measured 13 in 250µL, divided by 25 to add in the table</t>
  </si>
  <si>
    <t>Log10 CFUs in 250µL</t>
  </si>
  <si>
    <t>Log CFUs in 50µL</t>
  </si>
  <si>
    <t>CFU on large plates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</si>
</sst>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vertical="center"/>
    </xf>
    <xf numFmtId="0" fontId="0" fillId="3" borderId="0" xfId="0" applyFill="1" applyAlignment="1">
      <alignment horizontal="center"/>
    </xf>
    <xf numFmtId="0" fontId="0" fillId="3" borderId="0" xfId="0" applyFill="1"/>
    <xf numFmtId="164" fontId="0" fillId="3" borderId="0" xfId="0" applyNumberFormat="1" applyFill="1"/>
    <xf numFmtId="2" fontId="0" fillId="0" borderId="0" xfId="0" applyNumberFormat="1" applyAlignment="1">
      <alignment horizontal="center" vertical="center" wrapText="1"/>
    </xf>
    <xf numFmtId="2" fontId="5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164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165" fontId="0" fillId="2" borderId="0" xfId="0" applyNumberFormat="1" applyFill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/>
    <xf numFmtId="0" fontId="1" fillId="0" borderId="0" xfId="0" applyFont="1"/>
    <xf numFmtId="164" fontId="1" fillId="3" borderId="0" xfId="0" applyNumberFormat="1" applyFont="1" applyFill="1"/>
    <xf numFmtId="2" fontId="1" fillId="0" borderId="0" xfId="0" applyNumberFormat="1" applyFon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2"/>
  <sheetViews>
    <sheetView tabSelected="1" workbookViewId="0">
      <selection activeCell="M11" sqref="M11"/>
    </sheetView>
  </sheetViews>
  <sheetFormatPr baseColWidth="10" defaultRowHeight="16" x14ac:dyDescent="0.2"/>
  <cols>
    <col min="2" max="2" width="15.6640625" customWidth="1"/>
    <col min="3" max="3" width="17.33203125" customWidth="1"/>
    <col min="8" max="8" width="12.6640625" customWidth="1"/>
    <col min="9" max="9" width="22.6640625" customWidth="1"/>
    <col min="10" max="10" width="13.1640625" customWidth="1"/>
    <col min="11" max="11" width="17.5" customWidth="1"/>
    <col min="13" max="13" width="14.33203125" customWidth="1"/>
  </cols>
  <sheetData>
    <row r="1" spans="1:16" x14ac:dyDescent="0.2">
      <c r="A1" s="22"/>
      <c r="B1" s="22"/>
      <c r="C1" s="22"/>
      <c r="D1" s="22"/>
      <c r="E1" s="22"/>
      <c r="I1" s="1"/>
      <c r="J1" s="7" t="s">
        <v>3</v>
      </c>
      <c r="K1" s="7" t="s">
        <v>4</v>
      </c>
      <c r="L1" s="7" t="s">
        <v>6</v>
      </c>
      <c r="M1" s="7" t="s">
        <v>5</v>
      </c>
      <c r="N1" s="7" t="s">
        <v>41</v>
      </c>
      <c r="P1" s="7" t="s">
        <v>7</v>
      </c>
    </row>
    <row r="2" spans="1:16" ht="19" customHeight="1" x14ac:dyDescent="0.2">
      <c r="A2" s="23"/>
      <c r="B2" s="24"/>
      <c r="C2" s="24"/>
      <c r="D2" s="1"/>
      <c r="E2" s="6"/>
      <c r="I2" s="39" t="s">
        <v>17</v>
      </c>
      <c r="J2">
        <v>22</v>
      </c>
      <c r="K2" s="19">
        <v>10000</v>
      </c>
      <c r="L2" s="19">
        <f>J2*5*K2</f>
        <v>1100000</v>
      </c>
      <c r="M2" s="40">
        <f>AVERAGE(L2:L6)</f>
        <v>1220000</v>
      </c>
      <c r="N2" s="41">
        <f>LOG10(M2)</f>
        <v>6.0863598306747484</v>
      </c>
      <c r="P2" s="38">
        <v>0.32800000000000001</v>
      </c>
    </row>
    <row r="3" spans="1:16" x14ac:dyDescent="0.2">
      <c r="A3" s="25"/>
      <c r="B3" s="24"/>
      <c r="C3" s="24"/>
      <c r="D3" s="26"/>
      <c r="E3" s="27"/>
      <c r="I3" s="39"/>
      <c r="J3">
        <v>20</v>
      </c>
      <c r="K3" s="19">
        <v>10000</v>
      </c>
      <c r="L3" s="19">
        <f>J3*5*K3</f>
        <v>1000000</v>
      </c>
      <c r="M3" s="40"/>
      <c r="N3" s="41"/>
      <c r="P3" s="38"/>
    </row>
    <row r="4" spans="1:16" x14ac:dyDescent="0.2">
      <c r="A4" s="23"/>
      <c r="B4" s="24"/>
      <c r="C4" s="24"/>
      <c r="D4" s="1"/>
      <c r="E4" s="6"/>
      <c r="I4" s="39"/>
      <c r="J4">
        <v>26</v>
      </c>
      <c r="K4" s="19">
        <v>10000</v>
      </c>
      <c r="L4" s="19">
        <f>J4*5*K4</f>
        <v>1300000</v>
      </c>
      <c r="M4" s="40"/>
      <c r="N4" s="41"/>
      <c r="P4" s="38"/>
    </row>
    <row r="5" spans="1:16" x14ac:dyDescent="0.2">
      <c r="A5" s="25"/>
      <c r="B5" s="24"/>
      <c r="C5" s="24"/>
      <c r="D5" s="26"/>
      <c r="E5" s="27"/>
      <c r="I5" s="39"/>
      <c r="J5">
        <v>31</v>
      </c>
      <c r="K5" s="19">
        <v>10000</v>
      </c>
      <c r="L5" s="19">
        <f>J5*5*K5</f>
        <v>1550000</v>
      </c>
      <c r="M5" s="40"/>
      <c r="N5" s="41"/>
      <c r="P5" s="38"/>
    </row>
    <row r="6" spans="1:16" x14ac:dyDescent="0.2">
      <c r="I6" s="39"/>
      <c r="J6">
        <v>23</v>
      </c>
      <c r="K6" s="19">
        <v>10000</v>
      </c>
      <c r="L6" s="19">
        <f>J6*5*K6</f>
        <v>1150000</v>
      </c>
      <c r="M6" s="40"/>
      <c r="N6" s="41"/>
      <c r="P6" s="21"/>
    </row>
    <row r="7" spans="1:16" x14ac:dyDescent="0.2">
      <c r="I7" s="8"/>
      <c r="K7" s="19"/>
      <c r="L7" s="19"/>
      <c r="M7" s="20"/>
      <c r="N7" s="28"/>
      <c r="P7" s="1"/>
    </row>
    <row r="8" spans="1:16" x14ac:dyDescent="0.2">
      <c r="I8" s="8"/>
      <c r="K8" s="19"/>
      <c r="L8" s="19"/>
      <c r="M8" s="20"/>
      <c r="N8" s="28"/>
      <c r="P8" s="1"/>
    </row>
    <row r="9" spans="1:16" x14ac:dyDescent="0.2">
      <c r="I9" s="8"/>
      <c r="K9" s="19"/>
      <c r="L9" s="19"/>
      <c r="M9" s="20"/>
      <c r="N9" s="28"/>
      <c r="P9" s="1"/>
    </row>
    <row r="10" spans="1:16" x14ac:dyDescent="0.2">
      <c r="I10" s="8"/>
      <c r="K10" s="19"/>
      <c r="L10" s="19"/>
      <c r="M10" s="20" t="s">
        <v>42</v>
      </c>
      <c r="N10" s="28">
        <f>LOG10(5*M2)</f>
        <v>6.7853298350107671</v>
      </c>
      <c r="P10" s="1"/>
    </row>
    <row r="11" spans="1:16" x14ac:dyDescent="0.2">
      <c r="I11" s="8"/>
      <c r="K11" s="19"/>
      <c r="L11" s="19"/>
      <c r="M11" s="20"/>
      <c r="N11" s="21"/>
    </row>
    <row r="12" spans="1:16" x14ac:dyDescent="0.2">
      <c r="I12" s="8"/>
      <c r="K12" s="19"/>
      <c r="L12" s="19"/>
      <c r="M12" s="20"/>
      <c r="N12" s="21"/>
    </row>
  </sheetData>
  <mergeCells count="4">
    <mergeCell ref="P2:P5"/>
    <mergeCell ref="I2:I6"/>
    <mergeCell ref="M2:M6"/>
    <mergeCell ref="N2:N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J321"/>
  <sheetViews>
    <sheetView topLeftCell="A94" zoomScale="93" zoomScaleNormal="100" workbookViewId="0">
      <selection activeCell="K3" sqref="K3"/>
    </sheetView>
  </sheetViews>
  <sheetFormatPr baseColWidth="10" defaultRowHeight="16" x14ac:dyDescent="0.2"/>
  <cols>
    <col min="1" max="1" width="18.5" customWidth="1"/>
    <col min="5" max="5" width="10.83203125" style="4"/>
    <col min="6" max="6" width="12.1640625" style="4" customWidth="1"/>
    <col min="7" max="7" width="14.83203125" style="5" customWidth="1"/>
    <col min="8" max="8" width="12" customWidth="1"/>
    <col min="9" max="9" width="10.83203125" style="44"/>
    <col min="10" max="10" width="18" customWidth="1"/>
  </cols>
  <sheetData>
    <row r="1" spans="1:10" ht="45" customHeight="1" x14ac:dyDescent="0.2">
      <c r="A1" s="2" t="s">
        <v>19</v>
      </c>
      <c r="B1" s="39" t="s">
        <v>0</v>
      </c>
      <c r="C1" s="39"/>
      <c r="D1" s="6" t="s">
        <v>1</v>
      </c>
      <c r="E1" s="6" t="s">
        <v>2</v>
      </c>
      <c r="F1" s="6" t="s">
        <v>35</v>
      </c>
      <c r="G1" s="32" t="s">
        <v>16</v>
      </c>
      <c r="H1" s="9" t="s">
        <v>13</v>
      </c>
      <c r="I1" s="42" t="s">
        <v>40</v>
      </c>
    </row>
    <row r="2" spans="1:10" x14ac:dyDescent="0.2">
      <c r="A2" s="4" t="s">
        <v>8</v>
      </c>
      <c r="B2">
        <v>0</v>
      </c>
      <c r="D2">
        <f>AVERAGE(B2:C2)</f>
        <v>0</v>
      </c>
      <c r="E2" s="4">
        <v>1</v>
      </c>
      <c r="F2" s="4">
        <f>1874.8-1623.2</f>
        <v>251.59999999999991</v>
      </c>
      <c r="G2" s="26" t="e">
        <f>LOG10(D2*E2*100)</f>
        <v>#NUM!</v>
      </c>
      <c r="H2" s="10" t="e">
        <f>LOG10(D2*100*E2/F2*1000)</f>
        <v>#NUM!</v>
      </c>
      <c r="I2" s="43"/>
    </row>
    <row r="3" spans="1:10" x14ac:dyDescent="0.2">
      <c r="A3" s="4" t="s">
        <v>9</v>
      </c>
      <c r="B3">
        <v>31</v>
      </c>
      <c r="C3">
        <v>25</v>
      </c>
      <c r="D3">
        <f t="shared" ref="D3:D6" si="0">AVERAGE(B3:C3)</f>
        <v>28</v>
      </c>
      <c r="E3" s="4">
        <v>10</v>
      </c>
      <c r="F3" s="4">
        <f>2857.1-1700.2</f>
        <v>1156.8999999999999</v>
      </c>
      <c r="G3" s="26">
        <f>LOG10(D3*E3*100)</f>
        <v>4.4471580313422194</v>
      </c>
      <c r="H3" s="10">
        <f>LOG10(D3*100*E3/F3*1000)</f>
        <v>4.383862210268699</v>
      </c>
      <c r="I3" s="43">
        <f>LOG10(D3*E3*25)</f>
        <v>3.8450980400142569</v>
      </c>
    </row>
    <row r="4" spans="1:10" x14ac:dyDescent="0.2">
      <c r="A4" s="4" t="s">
        <v>10</v>
      </c>
      <c r="B4">
        <v>28</v>
      </c>
      <c r="C4">
        <v>19</v>
      </c>
      <c r="D4">
        <f t="shared" si="0"/>
        <v>23.5</v>
      </c>
      <c r="E4" s="4">
        <v>100000</v>
      </c>
      <c r="F4" s="4">
        <f>2689.7-1698</f>
        <v>991.69999999999982</v>
      </c>
      <c r="G4" s="26">
        <f t="shared" ref="G3:G66" si="1">LOG10(D4*E4*100)</f>
        <v>8.3710678622717367</v>
      </c>
      <c r="H4" s="10">
        <f t="shared" ref="H4:H6" si="2">LOG10(D4*100*E4/F4*1000)</f>
        <v>8.3746875490383257</v>
      </c>
      <c r="I4" s="43">
        <f t="shared" ref="I4:I6" si="3">LOG10(D4*E4*25)</f>
        <v>7.7690078709437742</v>
      </c>
    </row>
    <row r="5" spans="1:10" x14ac:dyDescent="0.2">
      <c r="A5" s="4" t="s">
        <v>11</v>
      </c>
      <c r="B5">
        <v>22</v>
      </c>
      <c r="C5">
        <v>33</v>
      </c>
      <c r="D5">
        <f t="shared" si="0"/>
        <v>27.5</v>
      </c>
      <c r="E5" s="4">
        <v>100</v>
      </c>
      <c r="F5" s="4">
        <f>1808.2-1699.2</f>
        <v>109</v>
      </c>
      <c r="G5" s="26">
        <f t="shared" si="1"/>
        <v>5.4393326938302629</v>
      </c>
      <c r="H5" s="10">
        <f t="shared" si="2"/>
        <v>6.4019061958896391</v>
      </c>
      <c r="I5" s="43">
        <f t="shared" si="3"/>
        <v>4.8372727025023003</v>
      </c>
    </row>
    <row r="6" spans="1:10" ht="20" customHeight="1" x14ac:dyDescent="0.2">
      <c r="A6" s="6" t="s">
        <v>12</v>
      </c>
      <c r="B6" s="8">
        <v>34</v>
      </c>
      <c r="C6" s="8">
        <v>28</v>
      </c>
      <c r="D6">
        <f t="shared" si="0"/>
        <v>31</v>
      </c>
      <c r="E6" s="6">
        <v>10000</v>
      </c>
      <c r="F6" s="6">
        <f>1817-1664.7</f>
        <v>152.29999999999995</v>
      </c>
      <c r="G6" s="26">
        <f t="shared" si="1"/>
        <v>7.4913616938342731</v>
      </c>
      <c r="H6" s="10">
        <f t="shared" si="2"/>
        <v>8.3086617904982294</v>
      </c>
      <c r="I6" s="43">
        <f t="shared" si="3"/>
        <v>6.8893017025063106</v>
      </c>
    </row>
    <row r="7" spans="1:10" x14ac:dyDescent="0.2">
      <c r="A7" s="4"/>
      <c r="G7" s="26"/>
      <c r="H7" s="10"/>
      <c r="I7" s="43"/>
    </row>
    <row r="8" spans="1:10" ht="51" x14ac:dyDescent="0.2">
      <c r="A8" s="2" t="s">
        <v>20</v>
      </c>
      <c r="B8" s="39" t="s">
        <v>0</v>
      </c>
      <c r="C8" s="39"/>
      <c r="D8" s="6" t="s">
        <v>1</v>
      </c>
      <c r="E8" s="6" t="s">
        <v>2</v>
      </c>
      <c r="F8" s="6" t="s">
        <v>35</v>
      </c>
      <c r="G8" s="32" t="s">
        <v>16</v>
      </c>
      <c r="H8" s="9" t="s">
        <v>13</v>
      </c>
      <c r="I8" s="42" t="s">
        <v>40</v>
      </c>
      <c r="J8" s="4"/>
    </row>
    <row r="9" spans="1:10" x14ac:dyDescent="0.2">
      <c r="A9" s="4" t="s">
        <v>8</v>
      </c>
      <c r="B9">
        <v>12</v>
      </c>
      <c r="C9">
        <v>6</v>
      </c>
      <c r="D9">
        <f>AVERAGE(B9:C9)</f>
        <v>9</v>
      </c>
      <c r="E9" s="4">
        <v>1000</v>
      </c>
      <c r="F9" s="4">
        <f>1937.8-1682.2</f>
        <v>255.59999999999991</v>
      </c>
      <c r="G9" s="26">
        <f t="shared" si="1"/>
        <v>5.9542425094393252</v>
      </c>
      <c r="H9" s="10">
        <f>LOG10(D9*100*E9/F9*1000)</f>
        <v>6.546681659952962</v>
      </c>
      <c r="I9" s="43">
        <f>LOG10(D9*E9*25)</f>
        <v>5.3521825181113627</v>
      </c>
    </row>
    <row r="10" spans="1:10" x14ac:dyDescent="0.2">
      <c r="A10" s="4" t="s">
        <v>9</v>
      </c>
      <c r="B10">
        <v>48</v>
      </c>
      <c r="C10">
        <v>47</v>
      </c>
      <c r="D10">
        <f t="shared" ref="D10:D13" si="4">AVERAGE(B10:C10)</f>
        <v>47.5</v>
      </c>
      <c r="E10" s="4">
        <v>10</v>
      </c>
      <c r="F10" s="4">
        <f>2893.2-1725</f>
        <v>1168.1999999999998</v>
      </c>
      <c r="G10" s="26">
        <f>LOG10(D10*E10*100)</f>
        <v>4.6766936096248664</v>
      </c>
      <c r="H10" s="10">
        <f>LOG10(D10*100*E10/F10*1000)</f>
        <v>4.6091764077211916</v>
      </c>
      <c r="I10" s="43">
        <f t="shared" ref="I10:I13" si="5">LOG10(D10*E10*25)</f>
        <v>4.0746336182969038</v>
      </c>
    </row>
    <row r="11" spans="1:10" x14ac:dyDescent="0.2">
      <c r="A11" s="4" t="s">
        <v>10</v>
      </c>
      <c r="B11">
        <v>29</v>
      </c>
      <c r="C11">
        <v>21</v>
      </c>
      <c r="D11">
        <f t="shared" si="4"/>
        <v>25</v>
      </c>
      <c r="E11" s="4">
        <v>100000</v>
      </c>
      <c r="F11" s="4">
        <f>2828-1821.9</f>
        <v>1006.0999999999999</v>
      </c>
      <c r="G11" s="26">
        <f t="shared" si="1"/>
        <v>8.3979400086720375</v>
      </c>
      <c r="H11" s="10">
        <f t="shared" ref="H11:H13" si="6">LOG10(D11*100*E11/F11*1000)</f>
        <v>8.395298859671998</v>
      </c>
      <c r="I11" s="43">
        <f t="shared" si="5"/>
        <v>7.795880017344075</v>
      </c>
    </row>
    <row r="12" spans="1:10" x14ac:dyDescent="0.2">
      <c r="A12" s="4" t="s">
        <v>11</v>
      </c>
      <c r="B12">
        <v>20</v>
      </c>
      <c r="C12">
        <v>29</v>
      </c>
      <c r="D12">
        <f t="shared" si="4"/>
        <v>24.5</v>
      </c>
      <c r="E12" s="4">
        <v>100</v>
      </c>
      <c r="F12" s="4">
        <f>1958-1835.7</f>
        <v>122.29999999999995</v>
      </c>
      <c r="G12" s="26">
        <f>LOG10(D12*E12*100)</f>
        <v>5.3891660843645326</v>
      </c>
      <c r="H12" s="10">
        <f t="shared" si="6"/>
        <v>6.3017396273282476</v>
      </c>
      <c r="I12" s="43">
        <f t="shared" si="5"/>
        <v>4.7871060930365701</v>
      </c>
    </row>
    <row r="13" spans="1:10" ht="17" x14ac:dyDescent="0.2">
      <c r="A13" s="6" t="s">
        <v>12</v>
      </c>
      <c r="B13" s="8">
        <v>16</v>
      </c>
      <c r="C13" s="8">
        <v>25</v>
      </c>
      <c r="D13">
        <f t="shared" si="4"/>
        <v>20.5</v>
      </c>
      <c r="E13" s="6">
        <v>10000</v>
      </c>
      <c r="F13" s="6">
        <f>1872.6-1679.8</f>
        <v>192.79999999999995</v>
      </c>
      <c r="G13" s="26">
        <f t="shared" si="1"/>
        <v>7.3117538610557542</v>
      </c>
      <c r="H13" s="10">
        <f t="shared" si="6"/>
        <v>8.026646831488943</v>
      </c>
      <c r="I13" s="43">
        <f t="shared" si="5"/>
        <v>6.7096938697277917</v>
      </c>
    </row>
    <row r="14" spans="1:10" x14ac:dyDescent="0.2">
      <c r="A14" s="4"/>
      <c r="G14" s="26"/>
      <c r="H14" s="10"/>
      <c r="I14" s="43"/>
    </row>
    <row r="15" spans="1:10" ht="51" x14ac:dyDescent="0.2">
      <c r="A15" s="2" t="s">
        <v>21</v>
      </c>
      <c r="B15" s="39" t="s">
        <v>0</v>
      </c>
      <c r="C15" s="39"/>
      <c r="D15" s="6" t="s">
        <v>1</v>
      </c>
      <c r="E15" s="6" t="s">
        <v>2</v>
      </c>
      <c r="F15" s="6" t="s">
        <v>35</v>
      </c>
      <c r="G15" s="32" t="s">
        <v>16</v>
      </c>
      <c r="H15" s="9" t="s">
        <v>13</v>
      </c>
      <c r="I15" s="42" t="s">
        <v>40</v>
      </c>
    </row>
    <row r="16" spans="1:10" x14ac:dyDescent="0.2">
      <c r="A16" s="4" t="s">
        <v>8</v>
      </c>
      <c r="B16">
        <f>8/25</f>
        <v>0.32</v>
      </c>
      <c r="D16">
        <f>AVERAGE(B16:C16)</f>
        <v>0.32</v>
      </c>
      <c r="E16" s="4">
        <v>1</v>
      </c>
      <c r="F16" s="4">
        <f>1984.5-1750.8</f>
        <v>233.70000000000005</v>
      </c>
      <c r="G16" s="26">
        <f t="shared" si="1"/>
        <v>1.505149978319906</v>
      </c>
      <c r="H16" s="10">
        <f>LOG10(D16*100*E16/F16*1000)</f>
        <v>2.1364912659276789</v>
      </c>
      <c r="I16" s="44">
        <f>LOG10(8)</f>
        <v>0.90308998699194354</v>
      </c>
      <c r="J16" s="10" t="s">
        <v>18</v>
      </c>
    </row>
    <row r="17" spans="1:10" x14ac:dyDescent="0.2">
      <c r="A17" s="4" t="s">
        <v>9</v>
      </c>
      <c r="B17">
        <v>21</v>
      </c>
      <c r="C17">
        <v>37</v>
      </c>
      <c r="D17">
        <f t="shared" ref="D17:D20" si="7">AVERAGE(B17:C17)</f>
        <v>29</v>
      </c>
      <c r="E17" s="4">
        <v>10</v>
      </c>
      <c r="F17" s="4">
        <f>2808.6-1699</f>
        <v>1109.5999999999999</v>
      </c>
      <c r="G17" s="26">
        <f t="shared" si="1"/>
        <v>4.4623979978989565</v>
      </c>
      <c r="H17" s="10">
        <f>LOG10(D17*100*E17/F17*1000)</f>
        <v>4.417231549833728</v>
      </c>
      <c r="I17" s="43">
        <f>LOG10(D17*E17*25)</f>
        <v>3.8603380065709936</v>
      </c>
    </row>
    <row r="18" spans="1:10" x14ac:dyDescent="0.2">
      <c r="A18" s="4" t="s">
        <v>10</v>
      </c>
      <c r="B18">
        <v>11</v>
      </c>
      <c r="C18">
        <v>7</v>
      </c>
      <c r="D18">
        <f t="shared" si="7"/>
        <v>9</v>
      </c>
      <c r="E18" s="4">
        <v>100000</v>
      </c>
      <c r="F18" s="4">
        <f>2814.9-1683.6</f>
        <v>1131.3000000000002</v>
      </c>
      <c r="G18" s="26">
        <f t="shared" si="1"/>
        <v>7.9542425094393252</v>
      </c>
      <c r="H18" s="10">
        <f t="shared" ref="H18:H20" si="8">LOG10(D18*100*E18/F18*1000)</f>
        <v>7.9006647223140423</v>
      </c>
      <c r="I18" s="43">
        <f t="shared" ref="I18:I20" si="9">LOG10(D18*E18*25)</f>
        <v>7.3521825181113627</v>
      </c>
    </row>
    <row r="19" spans="1:10" x14ac:dyDescent="0.2">
      <c r="A19" s="4" t="s">
        <v>11</v>
      </c>
      <c r="B19">
        <v>21</v>
      </c>
      <c r="C19">
        <v>9</v>
      </c>
      <c r="D19">
        <f t="shared" si="7"/>
        <v>15</v>
      </c>
      <c r="E19" s="4">
        <v>100</v>
      </c>
      <c r="F19" s="4">
        <f>1901.4-1776.7</f>
        <v>124.70000000000005</v>
      </c>
      <c r="G19" s="26">
        <f t="shared" si="1"/>
        <v>5.1760912590556813</v>
      </c>
      <c r="H19" s="10">
        <f t="shared" si="8"/>
        <v>6.0802248055771386</v>
      </c>
      <c r="I19" s="43">
        <f t="shared" si="9"/>
        <v>4.5740312677277188</v>
      </c>
    </row>
    <row r="20" spans="1:10" ht="17" x14ac:dyDescent="0.2">
      <c r="A20" s="6" t="s">
        <v>12</v>
      </c>
      <c r="B20" s="8">
        <v>55</v>
      </c>
      <c r="C20" s="8">
        <v>58</v>
      </c>
      <c r="D20">
        <f t="shared" si="7"/>
        <v>56.5</v>
      </c>
      <c r="E20" s="6">
        <v>1000</v>
      </c>
      <c r="F20" s="6">
        <f>1932.4-1776.1</f>
        <v>156.30000000000018</v>
      </c>
      <c r="G20" s="26">
        <f t="shared" si="1"/>
        <v>6.7520484478194387</v>
      </c>
      <c r="H20" s="10">
        <f t="shared" si="8"/>
        <v>7.558089469800251</v>
      </c>
      <c r="I20" s="43">
        <f t="shared" si="9"/>
        <v>6.1499884564914762</v>
      </c>
    </row>
    <row r="21" spans="1:10" x14ac:dyDescent="0.2">
      <c r="A21" s="4"/>
      <c r="G21" s="26"/>
      <c r="H21" s="10"/>
      <c r="I21" s="43"/>
    </row>
    <row r="22" spans="1:10" ht="51" x14ac:dyDescent="0.2">
      <c r="A22" s="2" t="s">
        <v>22</v>
      </c>
      <c r="B22" s="39" t="s">
        <v>0</v>
      </c>
      <c r="C22" s="39"/>
      <c r="D22" s="6" t="s">
        <v>1</v>
      </c>
      <c r="E22" s="6" t="s">
        <v>2</v>
      </c>
      <c r="F22" s="6" t="s">
        <v>35</v>
      </c>
      <c r="G22" s="32" t="s">
        <v>16</v>
      </c>
      <c r="H22" s="9" t="s">
        <v>13</v>
      </c>
      <c r="I22" s="42" t="s">
        <v>40</v>
      </c>
    </row>
    <row r="23" spans="1:10" x14ac:dyDescent="0.2">
      <c r="A23" s="4" t="s">
        <v>8</v>
      </c>
      <c r="B23">
        <f>8/25</f>
        <v>0.32</v>
      </c>
      <c r="D23">
        <f>AVERAGE(B23:C23)</f>
        <v>0.32</v>
      </c>
      <c r="E23" s="4">
        <v>1</v>
      </c>
      <c r="F23" s="4">
        <f>2068.6-1699.9</f>
        <v>368.69999999999982</v>
      </c>
      <c r="G23" s="26">
        <f t="shared" si="1"/>
        <v>1.505149978319906</v>
      </c>
      <c r="H23" s="10">
        <f>LOG10(D23*100*E23/F23*1000)</f>
        <v>1.9384768407137896</v>
      </c>
      <c r="I23" s="44">
        <f>LOG10(8)</f>
        <v>0.90308998699194354</v>
      </c>
      <c r="J23" s="10" t="s">
        <v>18</v>
      </c>
    </row>
    <row r="24" spans="1:10" ht="16" customHeight="1" x14ac:dyDescent="0.2">
      <c r="A24" s="4" t="s">
        <v>9</v>
      </c>
      <c r="B24">
        <v>10</v>
      </c>
      <c r="C24">
        <v>12</v>
      </c>
      <c r="D24">
        <f t="shared" ref="D24:D27" si="10">AVERAGE(B24:C24)</f>
        <v>11</v>
      </c>
      <c r="E24" s="4">
        <v>10000</v>
      </c>
      <c r="F24" s="4">
        <f>2996-1748.5</f>
        <v>1247.5</v>
      </c>
      <c r="G24" s="26">
        <f t="shared" si="1"/>
        <v>7.0413926851582254</v>
      </c>
      <c r="H24" s="10">
        <f>LOG10(D24*100*E24/F24*1000)</f>
        <v>6.9453521308627977</v>
      </c>
      <c r="I24" s="43">
        <f>LOG10(D24*E24*25)</f>
        <v>6.4393326938302629</v>
      </c>
    </row>
    <row r="25" spans="1:10" ht="16" customHeight="1" x14ac:dyDescent="0.2">
      <c r="A25" s="4" t="s">
        <v>10</v>
      </c>
      <c r="B25">
        <v>12</v>
      </c>
      <c r="C25">
        <v>16</v>
      </c>
      <c r="D25">
        <f t="shared" si="10"/>
        <v>14</v>
      </c>
      <c r="E25" s="4">
        <v>100000</v>
      </c>
      <c r="F25" s="4">
        <f>2618.2-1691.9</f>
        <v>926.29999999999973</v>
      </c>
      <c r="G25" s="26">
        <f t="shared" si="1"/>
        <v>8.1461280356782382</v>
      </c>
      <c r="H25" s="10">
        <f t="shared" ref="H25:H27" si="11">LOG10(D25*100*E25/F25*1000)</f>
        <v>8.1793763716268604</v>
      </c>
      <c r="I25" s="43">
        <f t="shared" ref="I25:I27" si="12">LOG10(D25*E25*25)</f>
        <v>7.5440680443502757</v>
      </c>
    </row>
    <row r="26" spans="1:10" x14ac:dyDescent="0.2">
      <c r="A26" s="4" t="s">
        <v>11</v>
      </c>
      <c r="B26">
        <v>19</v>
      </c>
      <c r="C26">
        <v>18</v>
      </c>
      <c r="D26">
        <f t="shared" si="10"/>
        <v>18.5</v>
      </c>
      <c r="E26" s="4">
        <v>100</v>
      </c>
      <c r="F26" s="4">
        <f>1800-1694.5</f>
        <v>105.5</v>
      </c>
      <c r="G26" s="26">
        <f t="shared" si="1"/>
        <v>5.2671717284030137</v>
      </c>
      <c r="H26" s="10">
        <f t="shared" si="11"/>
        <v>6.2439192687693019</v>
      </c>
      <c r="I26" s="43">
        <f>LOG10(D26*E26*25)</f>
        <v>4.6651117370750512</v>
      </c>
    </row>
    <row r="27" spans="1:10" ht="17" x14ac:dyDescent="0.2">
      <c r="A27" s="6" t="s">
        <v>12</v>
      </c>
      <c r="B27" s="8">
        <v>15</v>
      </c>
      <c r="C27" s="8">
        <v>22</v>
      </c>
      <c r="D27">
        <f t="shared" si="10"/>
        <v>18.5</v>
      </c>
      <c r="E27" s="6">
        <v>10000</v>
      </c>
      <c r="F27" s="6">
        <f>1829.3-1705.2</f>
        <v>124.09999999999991</v>
      </c>
      <c r="G27" s="26">
        <f t="shared" si="1"/>
        <v>7.2671717284030137</v>
      </c>
      <c r="H27" s="10">
        <f t="shared" si="11"/>
        <v>8.1733999469042846</v>
      </c>
      <c r="I27" s="43">
        <f t="shared" si="12"/>
        <v>6.6651117370750512</v>
      </c>
    </row>
    <row r="28" spans="1:10" x14ac:dyDescent="0.2">
      <c r="A28" s="4"/>
      <c r="G28" s="26"/>
      <c r="H28" s="10"/>
      <c r="I28" s="43"/>
    </row>
    <row r="29" spans="1:10" ht="51" x14ac:dyDescent="0.2">
      <c r="A29" s="2" t="s">
        <v>23</v>
      </c>
      <c r="B29" s="39" t="s">
        <v>0</v>
      </c>
      <c r="C29" s="39"/>
      <c r="D29" s="6" t="s">
        <v>1</v>
      </c>
      <c r="E29" s="6" t="s">
        <v>2</v>
      </c>
      <c r="F29" s="6" t="s">
        <v>35</v>
      </c>
      <c r="G29" s="32" t="s">
        <v>16</v>
      </c>
      <c r="H29" s="37" t="s">
        <v>13</v>
      </c>
      <c r="I29" s="42" t="s">
        <v>40</v>
      </c>
    </row>
    <row r="30" spans="1:10" x14ac:dyDescent="0.2">
      <c r="A30" s="4" t="s">
        <v>8</v>
      </c>
      <c r="B30">
        <v>21</v>
      </c>
      <c r="C30">
        <v>24</v>
      </c>
      <c r="D30">
        <f>AVERAGE(B30:C30)</f>
        <v>22.5</v>
      </c>
      <c r="E30" s="4">
        <v>100</v>
      </c>
      <c r="F30" s="4">
        <f>2136.5-1706.7</f>
        <v>429.79999999999995</v>
      </c>
      <c r="G30" s="26">
        <f t="shared" si="1"/>
        <v>5.3521825181113627</v>
      </c>
      <c r="H30" s="10">
        <f>LOG10(D30*100*E30/F30*1000)</f>
        <v>5.7189161069559384</v>
      </c>
      <c r="I30" s="43">
        <f>LOG10(D30*E30*25)</f>
        <v>4.7501225267834002</v>
      </c>
    </row>
    <row r="31" spans="1:10" x14ac:dyDescent="0.2">
      <c r="A31" s="4" t="s">
        <v>9</v>
      </c>
      <c r="B31">
        <v>69</v>
      </c>
      <c r="C31">
        <v>69</v>
      </c>
      <c r="D31">
        <f t="shared" ref="D31:D34" si="13">AVERAGE(B31:C31)</f>
        <v>69</v>
      </c>
      <c r="E31" s="4">
        <v>10</v>
      </c>
      <c r="F31" s="4">
        <f>2800.5-1700.6</f>
        <v>1099.9000000000001</v>
      </c>
      <c r="G31" s="26">
        <f t="shared" si="1"/>
        <v>4.8388490907372557</v>
      </c>
      <c r="H31" s="10">
        <f>LOG10(D31*100*E31/F31*1000)</f>
        <v>4.797495888690281</v>
      </c>
      <c r="I31" s="43">
        <f t="shared" ref="I31:I34" si="14">LOG10(D31*E31*25)</f>
        <v>4.2367890994092932</v>
      </c>
    </row>
    <row r="32" spans="1:10" x14ac:dyDescent="0.2">
      <c r="A32" s="4" t="s">
        <v>10</v>
      </c>
      <c r="B32">
        <v>12</v>
      </c>
      <c r="C32">
        <v>14</v>
      </c>
      <c r="D32">
        <f t="shared" si="13"/>
        <v>13</v>
      </c>
      <c r="E32" s="4">
        <v>100000</v>
      </c>
      <c r="F32" s="4">
        <f>2875.3-1814.4</f>
        <v>1060.9000000000001</v>
      </c>
      <c r="G32" s="26">
        <f t="shared" si="1"/>
        <v>8.1139433523068369</v>
      </c>
      <c r="H32" s="10">
        <f t="shared" ref="H32:H34" si="15">LOG10(D32*100*E32/F32*1000)</f>
        <v>8.0882689028964929</v>
      </c>
      <c r="I32" s="43">
        <f t="shared" si="14"/>
        <v>7.5118833609788744</v>
      </c>
    </row>
    <row r="33" spans="1:9" x14ac:dyDescent="0.2">
      <c r="A33" s="4" t="s">
        <v>11</v>
      </c>
      <c r="B33">
        <v>13</v>
      </c>
      <c r="C33">
        <v>14</v>
      </c>
      <c r="D33">
        <f t="shared" si="13"/>
        <v>13.5</v>
      </c>
      <c r="E33" s="4">
        <v>100</v>
      </c>
      <c r="F33" s="4">
        <f>1767.2-1644.5</f>
        <v>122.70000000000005</v>
      </c>
      <c r="G33" s="26">
        <f t="shared" si="1"/>
        <v>5.1303337684950066</v>
      </c>
      <c r="H33" s="10">
        <f t="shared" si="15"/>
        <v>6.0414892057680021</v>
      </c>
      <c r="I33" s="43">
        <f t="shared" si="14"/>
        <v>4.528273777167044</v>
      </c>
    </row>
    <row r="34" spans="1:9" ht="17" x14ac:dyDescent="0.2">
      <c r="A34" s="6" t="s">
        <v>12</v>
      </c>
      <c r="B34" s="8">
        <v>20</v>
      </c>
      <c r="C34" s="8">
        <v>14</v>
      </c>
      <c r="D34">
        <f t="shared" si="13"/>
        <v>17</v>
      </c>
      <c r="E34" s="6">
        <v>10000</v>
      </c>
      <c r="F34" s="6">
        <f>1906.3-1762.8</f>
        <v>143.5</v>
      </c>
      <c r="G34" s="26">
        <f t="shared" si="1"/>
        <v>7.2304489213782741</v>
      </c>
      <c r="H34" s="10">
        <f t="shared" si="15"/>
        <v>8.073597020308263</v>
      </c>
      <c r="I34" s="43">
        <f t="shared" si="14"/>
        <v>6.6283889300503116</v>
      </c>
    </row>
    <row r="35" spans="1:9" s="30" customFormat="1" x14ac:dyDescent="0.2">
      <c r="A35" s="29"/>
      <c r="E35" s="29"/>
      <c r="F35" s="29"/>
      <c r="G35" s="36"/>
      <c r="H35" s="31"/>
      <c r="I35" s="45"/>
    </row>
    <row r="36" spans="1:9" ht="51" x14ac:dyDescent="0.2">
      <c r="A36" s="2" t="s">
        <v>24</v>
      </c>
      <c r="B36" s="39" t="s">
        <v>0</v>
      </c>
      <c r="C36" s="39"/>
      <c r="D36" s="6" t="s">
        <v>1</v>
      </c>
      <c r="E36" s="6" t="s">
        <v>2</v>
      </c>
      <c r="F36" s="6" t="s">
        <v>35</v>
      </c>
      <c r="G36" s="32" t="s">
        <v>16</v>
      </c>
      <c r="H36" s="37" t="s">
        <v>13</v>
      </c>
      <c r="I36" s="43"/>
    </row>
    <row r="37" spans="1:9" x14ac:dyDescent="0.2">
      <c r="A37" s="4" t="s">
        <v>14</v>
      </c>
      <c r="B37">
        <v>0</v>
      </c>
      <c r="D37">
        <f>AVERAGE(B37:C37)</f>
        <v>0</v>
      </c>
      <c r="E37" s="4">
        <v>1</v>
      </c>
      <c r="F37" s="4">
        <f>1687.3-1675.4</f>
        <v>11.899999999999864</v>
      </c>
      <c r="G37" s="26" t="e">
        <f t="shared" si="1"/>
        <v>#NUM!</v>
      </c>
      <c r="H37" s="10" t="e">
        <f>LOG10(D37*100*E37/F37*1000)</f>
        <v>#NUM!</v>
      </c>
      <c r="I37" s="43"/>
    </row>
    <row r="38" spans="1:9" x14ac:dyDescent="0.2">
      <c r="A38" s="4" t="s">
        <v>8</v>
      </c>
      <c r="B38">
        <v>0</v>
      </c>
      <c r="D38">
        <f>AVERAGE(B38:C38)</f>
        <v>0</v>
      </c>
      <c r="E38" s="4">
        <v>1</v>
      </c>
      <c r="F38" s="4">
        <f>2136.3-1762.9</f>
        <v>373.40000000000009</v>
      </c>
      <c r="G38" s="26" t="e">
        <f t="shared" si="1"/>
        <v>#NUM!</v>
      </c>
      <c r="H38" s="10" t="e">
        <f>LOG10(D38*100*E38/F38*1000)</f>
        <v>#NUM!</v>
      </c>
      <c r="I38" s="43"/>
    </row>
    <row r="39" spans="1:9" x14ac:dyDescent="0.2">
      <c r="A39" s="4" t="s">
        <v>9</v>
      </c>
      <c r="B39">
        <v>0</v>
      </c>
      <c r="D39">
        <f t="shared" ref="D39:D42" si="16">AVERAGE(B39:C39)</f>
        <v>0</v>
      </c>
      <c r="E39" s="4">
        <v>1</v>
      </c>
      <c r="F39" s="4">
        <f>2574.7-1627.3</f>
        <v>947.39999999999986</v>
      </c>
      <c r="G39" s="26" t="e">
        <f t="shared" si="1"/>
        <v>#NUM!</v>
      </c>
      <c r="H39" s="10" t="e">
        <f>LOG10(D39*100*E39/F39*1000)</f>
        <v>#NUM!</v>
      </c>
      <c r="I39" s="43"/>
    </row>
    <row r="40" spans="1:9" x14ac:dyDescent="0.2">
      <c r="A40" s="4" t="s">
        <v>10</v>
      </c>
      <c r="B40">
        <v>0</v>
      </c>
      <c r="D40">
        <f t="shared" si="16"/>
        <v>0</v>
      </c>
      <c r="E40" s="4">
        <v>1</v>
      </c>
      <c r="F40" s="4">
        <f>2260.3-1708.7</f>
        <v>551.60000000000014</v>
      </c>
      <c r="G40" s="26" t="e">
        <f t="shared" si="1"/>
        <v>#NUM!</v>
      </c>
      <c r="H40" s="10" t="e">
        <f t="shared" ref="H40:H42" si="17">LOG10(D40*100*E40/F40*1000)</f>
        <v>#NUM!</v>
      </c>
      <c r="I40" s="43"/>
    </row>
    <row r="41" spans="1:9" x14ac:dyDescent="0.2">
      <c r="A41" s="4" t="s">
        <v>11</v>
      </c>
      <c r="B41">
        <v>0</v>
      </c>
      <c r="D41">
        <f t="shared" si="16"/>
        <v>0</v>
      </c>
      <c r="E41" s="4">
        <v>1</v>
      </c>
      <c r="F41" s="4">
        <f>1832.6-1692.4</f>
        <v>140.19999999999982</v>
      </c>
      <c r="G41" s="26" t="e">
        <f t="shared" si="1"/>
        <v>#NUM!</v>
      </c>
      <c r="H41" s="10" t="e">
        <f t="shared" si="17"/>
        <v>#NUM!</v>
      </c>
      <c r="I41" s="43"/>
    </row>
    <row r="42" spans="1:9" ht="17" x14ac:dyDescent="0.2">
      <c r="A42" s="6" t="s">
        <v>12</v>
      </c>
      <c r="B42" s="8">
        <v>0</v>
      </c>
      <c r="C42" s="8"/>
      <c r="D42">
        <f t="shared" si="16"/>
        <v>0</v>
      </c>
      <c r="E42" s="6">
        <v>1</v>
      </c>
      <c r="F42" s="6">
        <f>1833.6-1692.2</f>
        <v>141.39999999999986</v>
      </c>
      <c r="G42" s="26" t="e">
        <f t="shared" si="1"/>
        <v>#NUM!</v>
      </c>
      <c r="H42" s="10" t="e">
        <f t="shared" si="17"/>
        <v>#NUM!</v>
      </c>
      <c r="I42" s="43"/>
    </row>
    <row r="43" spans="1:9" x14ac:dyDescent="0.2">
      <c r="A43" s="2"/>
      <c r="B43" s="8"/>
      <c r="C43" s="8"/>
      <c r="D43" s="6"/>
      <c r="E43" s="6"/>
      <c r="F43" s="6"/>
      <c r="G43" s="26"/>
      <c r="H43" s="9"/>
      <c r="I43" s="43"/>
    </row>
    <row r="44" spans="1:9" ht="51" x14ac:dyDescent="0.2">
      <c r="A44" s="2" t="s">
        <v>25</v>
      </c>
      <c r="B44" s="39" t="s">
        <v>0</v>
      </c>
      <c r="C44" s="39"/>
      <c r="D44" s="6" t="s">
        <v>1</v>
      </c>
      <c r="E44" s="6" t="s">
        <v>2</v>
      </c>
      <c r="F44" s="6" t="s">
        <v>35</v>
      </c>
      <c r="G44" s="32" t="s">
        <v>16</v>
      </c>
      <c r="H44" s="37" t="s">
        <v>13</v>
      </c>
      <c r="I44" s="42" t="s">
        <v>40</v>
      </c>
    </row>
    <row r="45" spans="1:9" x14ac:dyDescent="0.2">
      <c r="A45" s="4" t="s">
        <v>14</v>
      </c>
      <c r="B45">
        <v>53</v>
      </c>
      <c r="C45">
        <v>41</v>
      </c>
      <c r="D45">
        <f>AVERAGE(B45:C45)</f>
        <v>47</v>
      </c>
      <c r="E45" s="4">
        <v>10000</v>
      </c>
      <c r="F45" s="4">
        <f>1659.7-1643.5</f>
        <v>16.200000000000045</v>
      </c>
      <c r="G45" s="26">
        <f t="shared" si="1"/>
        <v>7.6720978579357171</v>
      </c>
      <c r="H45" s="10">
        <f>LOG10(D45*100*E45/F45*1000)</f>
        <v>9.4625828433930845</v>
      </c>
      <c r="I45" s="43">
        <f>LOG10(D45*E45*25)</f>
        <v>7.0700378666077555</v>
      </c>
    </row>
    <row r="46" spans="1:9" x14ac:dyDescent="0.2">
      <c r="A46" s="4" t="s">
        <v>8</v>
      </c>
      <c r="B46">
        <v>41</v>
      </c>
      <c r="C46">
        <v>49</v>
      </c>
      <c r="D46">
        <f>AVERAGE(B46:C46)</f>
        <v>45</v>
      </c>
      <c r="E46" s="4">
        <v>10</v>
      </c>
      <c r="F46" s="4">
        <f>2235.6-1682</f>
        <v>553.59999999999991</v>
      </c>
      <c r="G46" s="26">
        <f t="shared" si="1"/>
        <v>4.653212513775344</v>
      </c>
      <c r="H46" s="10">
        <f>LOG10(D46*100*E46/F46*1000)</f>
        <v>4.9100164323266426</v>
      </c>
      <c r="I46" s="43">
        <f t="shared" ref="I46:I50" si="18">LOG10(D46*E46*25)</f>
        <v>4.0511525224473814</v>
      </c>
    </row>
    <row r="47" spans="1:9" x14ac:dyDescent="0.2">
      <c r="A47" s="4" t="s">
        <v>9</v>
      </c>
      <c r="B47">
        <v>39</v>
      </c>
      <c r="C47">
        <v>42</v>
      </c>
      <c r="D47">
        <f t="shared" ref="D47:D50" si="19">AVERAGE(B47:C47)</f>
        <v>40.5</v>
      </c>
      <c r="E47" s="4">
        <v>100000</v>
      </c>
      <c r="F47" s="4">
        <f>2789.1-1691</f>
        <v>1098.0999999999999</v>
      </c>
      <c r="G47" s="26">
        <f t="shared" si="1"/>
        <v>8.6074550232146692</v>
      </c>
      <c r="H47" s="10">
        <f>LOG10(D47*100*E47/F47*1000)</f>
        <v>8.5668131316701324</v>
      </c>
      <c r="I47" s="43">
        <f t="shared" si="18"/>
        <v>8.0053950318867066</v>
      </c>
    </row>
    <row r="48" spans="1:9" x14ac:dyDescent="0.2">
      <c r="A48" s="4" t="s">
        <v>10</v>
      </c>
      <c r="B48">
        <v>27</v>
      </c>
      <c r="C48">
        <v>38</v>
      </c>
      <c r="D48">
        <f t="shared" si="19"/>
        <v>32.5</v>
      </c>
      <c r="E48" s="4">
        <v>1000000</v>
      </c>
      <c r="F48" s="4">
        <f>2162.4-1667.2</f>
        <v>495.20000000000005</v>
      </c>
      <c r="G48" s="26">
        <f t="shared" si="1"/>
        <v>9.5118833609788744</v>
      </c>
      <c r="H48" s="10">
        <f t="shared" ref="H48:H50" si="20">LOG10(D48*100*E48/F48*1000)</f>
        <v>9.8171027249668121</v>
      </c>
      <c r="I48" s="43">
        <f t="shared" si="18"/>
        <v>8.9098233696509119</v>
      </c>
    </row>
    <row r="49" spans="1:10" x14ac:dyDescent="0.2">
      <c r="A49" s="4" t="s">
        <v>11</v>
      </c>
      <c r="B49">
        <v>40</v>
      </c>
      <c r="C49">
        <v>27</v>
      </c>
      <c r="D49">
        <f t="shared" si="19"/>
        <v>33.5</v>
      </c>
      <c r="E49" s="4">
        <v>10000</v>
      </c>
      <c r="F49" s="4">
        <f>1733-1621.2</f>
        <v>111.79999999999995</v>
      </c>
      <c r="G49" s="26">
        <f t="shared" si="1"/>
        <v>7.5250448070368456</v>
      </c>
      <c r="H49" s="10">
        <f t="shared" si="20"/>
        <v>8.4766030034864404</v>
      </c>
      <c r="I49" s="43">
        <f t="shared" si="18"/>
        <v>6.9229848157088831</v>
      </c>
    </row>
    <row r="50" spans="1:10" ht="17" x14ac:dyDescent="0.2">
      <c r="A50" s="6" t="s">
        <v>12</v>
      </c>
      <c r="B50" s="8">
        <v>29</v>
      </c>
      <c r="C50" s="8">
        <v>39</v>
      </c>
      <c r="D50">
        <f t="shared" si="19"/>
        <v>34</v>
      </c>
      <c r="E50" s="6">
        <v>100000</v>
      </c>
      <c r="F50" s="6">
        <f>1779.9-1691.1</f>
        <v>88.800000000000182</v>
      </c>
      <c r="G50" s="26">
        <f t="shared" si="1"/>
        <v>8.5314789170422554</v>
      </c>
      <c r="H50" s="10">
        <f t="shared" si="20"/>
        <v>9.583065951263654</v>
      </c>
      <c r="I50" s="43">
        <f t="shared" si="18"/>
        <v>7.9294189257142929</v>
      </c>
    </row>
    <row r="51" spans="1:10" x14ac:dyDescent="0.2">
      <c r="A51" s="4"/>
      <c r="G51" s="26"/>
      <c r="H51" s="10"/>
      <c r="I51" s="43"/>
    </row>
    <row r="52" spans="1:10" ht="51" x14ac:dyDescent="0.2">
      <c r="A52" s="2" t="s">
        <v>26</v>
      </c>
      <c r="B52" s="39" t="s">
        <v>0</v>
      </c>
      <c r="C52" s="39"/>
      <c r="D52" s="6" t="s">
        <v>1</v>
      </c>
      <c r="E52" s="6" t="s">
        <v>2</v>
      </c>
      <c r="F52" s="6" t="s">
        <v>35</v>
      </c>
      <c r="G52" s="32" t="s">
        <v>16</v>
      </c>
      <c r="H52" s="37" t="s">
        <v>13</v>
      </c>
      <c r="I52" s="42" t="s">
        <v>40</v>
      </c>
    </row>
    <row r="53" spans="1:10" x14ac:dyDescent="0.2">
      <c r="A53" s="4" t="s">
        <v>14</v>
      </c>
      <c r="B53">
        <v>40</v>
      </c>
      <c r="C53">
        <v>46</v>
      </c>
      <c r="D53">
        <f>AVERAGE(B53:C53)</f>
        <v>43</v>
      </c>
      <c r="E53" s="4">
        <v>10000</v>
      </c>
      <c r="F53" s="4">
        <f>1717.3-1702.9</f>
        <v>14.399999999999864</v>
      </c>
      <c r="G53" s="26">
        <f t="shared" si="1"/>
        <v>7.6334684555795862</v>
      </c>
      <c r="H53" s="10">
        <f>LOG10(D53*100*E53/F53*1000)</f>
        <v>9.4751059634843404</v>
      </c>
      <c r="I53" s="43">
        <f>LOG10(D53*E53*25)</f>
        <v>7.0314084642516246</v>
      </c>
    </row>
    <row r="54" spans="1:10" x14ac:dyDescent="0.2">
      <c r="A54" s="4" t="s">
        <v>8</v>
      </c>
      <c r="B54">
        <f>28/25</f>
        <v>1.1200000000000001</v>
      </c>
      <c r="D54">
        <f>AVERAGE(B54:C54)</f>
        <v>1.1200000000000001</v>
      </c>
      <c r="E54" s="4">
        <v>1</v>
      </c>
      <c r="F54" s="4">
        <f>2032.3-1688.9</f>
        <v>343.39999999999986</v>
      </c>
      <c r="G54" s="26">
        <f t="shared" si="1"/>
        <v>2.0492180226701815</v>
      </c>
      <c r="H54" s="10">
        <f>LOG10(D54*100*E54/F54*1000)</f>
        <v>2.5134177318452844</v>
      </c>
      <c r="I54" s="44">
        <f>LOG10(28)</f>
        <v>1.4471580313422192</v>
      </c>
      <c r="J54" s="10" t="s">
        <v>36</v>
      </c>
    </row>
    <row r="55" spans="1:10" x14ac:dyDescent="0.2">
      <c r="A55" s="4" t="s">
        <v>9</v>
      </c>
      <c r="B55">
        <v>32</v>
      </c>
      <c r="C55">
        <v>47</v>
      </c>
      <c r="D55">
        <f t="shared" ref="D55:D58" si="21">AVERAGE(B55:C55)</f>
        <v>39.5</v>
      </c>
      <c r="E55" s="4">
        <v>100</v>
      </c>
      <c r="F55" s="4">
        <f>2992.4-1772.4</f>
        <v>1220</v>
      </c>
      <c r="G55" s="26">
        <f t="shared" si="1"/>
        <v>5.5965970956264606</v>
      </c>
      <c r="H55" s="10">
        <f>LOG10(D55*100*E55/F55*1000)</f>
        <v>5.5102372649517122</v>
      </c>
      <c r="I55" s="43">
        <f>LOG10(D55*E55*25)</f>
        <v>4.9945371042984981</v>
      </c>
    </row>
    <row r="56" spans="1:10" x14ac:dyDescent="0.2">
      <c r="A56" s="4" t="s">
        <v>10</v>
      </c>
      <c r="B56">
        <v>44</v>
      </c>
      <c r="C56">
        <v>39</v>
      </c>
      <c r="D56">
        <f t="shared" si="21"/>
        <v>41.5</v>
      </c>
      <c r="E56" s="4">
        <v>10000</v>
      </c>
      <c r="F56" s="4">
        <f>2325-1588.1</f>
        <v>736.90000000000009</v>
      </c>
      <c r="G56" s="26">
        <f t="shared" si="1"/>
        <v>7.6180480967120925</v>
      </c>
      <c r="H56" s="10">
        <f t="shared" ref="H56:H58" si="22">LOG10(D56*100*E56/F56*1000)</f>
        <v>7.7506395401893018</v>
      </c>
      <c r="I56" s="43">
        <f t="shared" ref="I56:I58" si="23">LOG10(D56*E56*25)</f>
        <v>7.01598810538413</v>
      </c>
    </row>
    <row r="57" spans="1:10" x14ac:dyDescent="0.2">
      <c r="A57" s="4" t="s">
        <v>11</v>
      </c>
      <c r="B57">
        <v>70</v>
      </c>
      <c r="C57">
        <v>62</v>
      </c>
      <c r="D57">
        <f t="shared" si="21"/>
        <v>66</v>
      </c>
      <c r="E57" s="4">
        <v>100</v>
      </c>
      <c r="F57" s="4">
        <f>1839.4-1710.2</f>
        <v>129.20000000000005</v>
      </c>
      <c r="G57" s="26">
        <f t="shared" si="1"/>
        <v>5.8195439355418683</v>
      </c>
      <c r="H57" s="10">
        <f t="shared" si="22"/>
        <v>6.7082814218828029</v>
      </c>
      <c r="I57" s="43">
        <f t="shared" si="23"/>
        <v>5.2174839442139067</v>
      </c>
    </row>
    <row r="58" spans="1:10" ht="17" x14ac:dyDescent="0.2">
      <c r="A58" s="6" t="s">
        <v>12</v>
      </c>
      <c r="B58" s="8">
        <v>16</v>
      </c>
      <c r="C58" s="8">
        <v>12</v>
      </c>
      <c r="D58">
        <f t="shared" si="21"/>
        <v>14</v>
      </c>
      <c r="E58" s="6">
        <v>10000</v>
      </c>
      <c r="F58" s="6">
        <f>1719.5-1707.1</f>
        <v>12.400000000000091</v>
      </c>
      <c r="G58" s="26">
        <f t="shared" si="1"/>
        <v>7.1461280356782382</v>
      </c>
      <c r="H58" s="10">
        <f t="shared" si="22"/>
        <v>9.052706350515999</v>
      </c>
      <c r="I58" s="43">
        <f t="shared" si="23"/>
        <v>6.5440680443502757</v>
      </c>
    </row>
    <row r="59" spans="1:10" x14ac:dyDescent="0.2">
      <c r="A59" s="4"/>
      <c r="G59" s="26"/>
      <c r="H59" s="10"/>
      <c r="I59" s="43"/>
    </row>
    <row r="60" spans="1:10" ht="51" x14ac:dyDescent="0.2">
      <c r="A60" s="2" t="s">
        <v>27</v>
      </c>
      <c r="B60" s="39" t="s">
        <v>0</v>
      </c>
      <c r="C60" s="39"/>
      <c r="D60" s="6" t="s">
        <v>1</v>
      </c>
      <c r="E60" s="6" t="s">
        <v>2</v>
      </c>
      <c r="F60" s="6" t="s">
        <v>35</v>
      </c>
      <c r="G60" s="32" t="s">
        <v>16</v>
      </c>
      <c r="H60" s="37" t="s">
        <v>13</v>
      </c>
      <c r="I60" s="42" t="s">
        <v>40</v>
      </c>
    </row>
    <row r="61" spans="1:10" x14ac:dyDescent="0.2">
      <c r="A61" s="4" t="s">
        <v>14</v>
      </c>
      <c r="B61">
        <v>40</v>
      </c>
      <c r="C61">
        <v>32</v>
      </c>
      <c r="D61">
        <f>AVERAGE(B61:C61)</f>
        <v>36</v>
      </c>
      <c r="E61" s="4">
        <v>1</v>
      </c>
      <c r="F61" s="4">
        <f>1716.5-1700</f>
        <v>16.5</v>
      </c>
      <c r="G61" s="26">
        <f t="shared" si="1"/>
        <v>3.5563025007672873</v>
      </c>
      <c r="H61" s="10">
        <f>LOG10(D61*100*E61/F61*1000)</f>
        <v>5.338818556553381</v>
      </c>
      <c r="I61" s="43">
        <f t="shared" ref="I61" si="24">LOG10(D61*E61*25)</f>
        <v>2.9542425094393248</v>
      </c>
    </row>
    <row r="62" spans="1:10" x14ac:dyDescent="0.2">
      <c r="A62" s="4" t="s">
        <v>8</v>
      </c>
      <c r="B62">
        <v>0</v>
      </c>
      <c r="D62">
        <f>AVERAGE(B62:C62)</f>
        <v>0</v>
      </c>
      <c r="E62" s="4">
        <v>1</v>
      </c>
      <c r="F62" s="4">
        <f>2162.4-1763.1</f>
        <v>399.30000000000018</v>
      </c>
      <c r="G62" s="26" t="e">
        <f t="shared" si="1"/>
        <v>#NUM!</v>
      </c>
      <c r="H62" s="10" t="e">
        <f>LOG10(D62*100*E62/F62*1000)</f>
        <v>#NUM!</v>
      </c>
      <c r="I62" s="43"/>
    </row>
    <row r="63" spans="1:10" x14ac:dyDescent="0.2">
      <c r="A63" s="4" t="s">
        <v>9</v>
      </c>
      <c r="B63">
        <v>8</v>
      </c>
      <c r="C63">
        <v>12</v>
      </c>
      <c r="D63">
        <f t="shared" ref="D63:D66" si="25">AVERAGE(B63:C63)</f>
        <v>10</v>
      </c>
      <c r="E63" s="4">
        <v>10</v>
      </c>
      <c r="F63" s="4">
        <f>3194.9-1770.6</f>
        <v>1424.3000000000002</v>
      </c>
      <c r="G63" s="26">
        <f t="shared" si="1"/>
        <v>4</v>
      </c>
      <c r="H63" s="10">
        <f>LOG10(D63*100*E63/F63*1000)</f>
        <v>3.8463985257115887</v>
      </c>
      <c r="I63" s="43">
        <f t="shared" ref="I63:I66" si="26">LOG10(D63*E63*25)</f>
        <v>3.3979400086720375</v>
      </c>
    </row>
    <row r="64" spans="1:10" x14ac:dyDescent="0.2">
      <c r="A64" s="4" t="s">
        <v>10</v>
      </c>
      <c r="B64">
        <v>50</v>
      </c>
      <c r="C64">
        <v>55</v>
      </c>
      <c r="D64">
        <f t="shared" si="25"/>
        <v>52.5</v>
      </c>
      <c r="E64" s="4">
        <v>10000</v>
      </c>
      <c r="F64" s="4">
        <f>2818.1-1736.6</f>
        <v>1081.5</v>
      </c>
      <c r="G64" s="26">
        <f t="shared" si="1"/>
        <v>7.720159303405957</v>
      </c>
      <c r="H64" s="10">
        <f t="shared" ref="H64:H66" si="27">LOG10(D64*100*E64/F64*1000)</f>
        <v>7.6861327796308467</v>
      </c>
      <c r="I64" s="43">
        <f t="shared" si="26"/>
        <v>7.1180993120779945</v>
      </c>
    </row>
    <row r="65" spans="1:10" x14ac:dyDescent="0.2">
      <c r="A65" s="4" t="s">
        <v>11</v>
      </c>
      <c r="B65">
        <v>31</v>
      </c>
      <c r="C65">
        <v>29</v>
      </c>
      <c r="D65">
        <f t="shared" si="25"/>
        <v>30</v>
      </c>
      <c r="E65" s="4">
        <v>10</v>
      </c>
      <c r="F65" s="4">
        <f>1825-1697</f>
        <v>128</v>
      </c>
      <c r="G65" s="26">
        <f t="shared" si="1"/>
        <v>4.4771212547196626</v>
      </c>
      <c r="H65" s="10">
        <f t="shared" si="27"/>
        <v>5.3699112850717938</v>
      </c>
      <c r="I65" s="43">
        <f t="shared" si="26"/>
        <v>3.8750612633917001</v>
      </c>
    </row>
    <row r="66" spans="1:10" ht="17" x14ac:dyDescent="0.2">
      <c r="A66" s="6" t="s">
        <v>12</v>
      </c>
      <c r="B66" s="8">
        <v>28</v>
      </c>
      <c r="C66" s="8">
        <v>20</v>
      </c>
      <c r="D66">
        <f t="shared" si="25"/>
        <v>24</v>
      </c>
      <c r="E66" s="6">
        <v>1000</v>
      </c>
      <c r="F66" s="6">
        <f>1960.2-1744.5</f>
        <v>215.70000000000005</v>
      </c>
      <c r="G66" s="26">
        <f t="shared" si="1"/>
        <v>6.3802112417116064</v>
      </c>
      <c r="H66" s="10">
        <f t="shared" si="27"/>
        <v>7.0463610966090604</v>
      </c>
      <c r="I66" s="43">
        <f t="shared" si="26"/>
        <v>5.7781512503836439</v>
      </c>
    </row>
    <row r="67" spans="1:10" x14ac:dyDescent="0.2">
      <c r="A67" s="4"/>
      <c r="G67" s="26"/>
      <c r="H67" s="10"/>
      <c r="I67" s="43"/>
    </row>
    <row r="68" spans="1:10" ht="51" x14ac:dyDescent="0.2">
      <c r="A68" s="2" t="s">
        <v>28</v>
      </c>
      <c r="B68" s="39" t="s">
        <v>0</v>
      </c>
      <c r="C68" s="39"/>
      <c r="D68" s="6" t="s">
        <v>1</v>
      </c>
      <c r="E68" s="6" t="s">
        <v>2</v>
      </c>
      <c r="F68" s="6" t="s">
        <v>35</v>
      </c>
      <c r="G68" s="32" t="s">
        <v>16</v>
      </c>
      <c r="H68" s="37" t="s">
        <v>13</v>
      </c>
      <c r="I68" s="42" t="s">
        <v>40</v>
      </c>
    </row>
    <row r="69" spans="1:10" x14ac:dyDescent="0.2">
      <c r="A69" s="4" t="s">
        <v>14</v>
      </c>
      <c r="B69">
        <v>33</v>
      </c>
      <c r="C69">
        <v>34</v>
      </c>
      <c r="D69">
        <f>AVERAGE(B69:C69)</f>
        <v>33.5</v>
      </c>
      <c r="E69" s="4">
        <v>1000</v>
      </c>
      <c r="F69" s="4">
        <f>1768.1-1710.4</f>
        <v>57.699999999999818</v>
      </c>
      <c r="G69" s="26">
        <f t="shared" ref="G69:G119" si="28">LOG10(D69*E69*100)</f>
        <v>6.5250448070368456</v>
      </c>
      <c r="H69" s="10">
        <f>LOG10(D69*100*E69/F69*1000)</f>
        <v>7.7638689938811156</v>
      </c>
      <c r="I69" s="43">
        <f t="shared" ref="I69" si="29">LOG10(D69*E69*25)</f>
        <v>5.9229848157088831</v>
      </c>
    </row>
    <row r="70" spans="1:10" x14ac:dyDescent="0.2">
      <c r="A70" s="4" t="s">
        <v>8</v>
      </c>
      <c r="B70">
        <f>23/25</f>
        <v>0.92</v>
      </c>
      <c r="D70">
        <f>AVERAGE(B70:C70)</f>
        <v>0.92</v>
      </c>
      <c r="E70" s="4">
        <v>1</v>
      </c>
      <c r="F70" s="4">
        <f>1867-1620.8</f>
        <v>246.20000000000005</v>
      </c>
      <c r="G70" s="26">
        <f t="shared" si="28"/>
        <v>1.9637878273455553</v>
      </c>
      <c r="H70" s="10">
        <f>LOG10(D70*100*E70/F70*1000)</f>
        <v>2.5724997787502577</v>
      </c>
      <c r="I70" s="44">
        <f>LOG10(23)</f>
        <v>1.3617278360175928</v>
      </c>
      <c r="J70" s="10" t="s">
        <v>37</v>
      </c>
    </row>
    <row r="71" spans="1:10" x14ac:dyDescent="0.2">
      <c r="A71" s="4" t="s">
        <v>9</v>
      </c>
      <c r="B71">
        <v>31</v>
      </c>
      <c r="C71">
        <v>26</v>
      </c>
      <c r="D71">
        <f t="shared" ref="D71:D74" si="30">AVERAGE(B71:C71)</f>
        <v>28.5</v>
      </c>
      <c r="E71" s="4">
        <v>100</v>
      </c>
      <c r="F71" s="4">
        <f>3084.7-1679.9</f>
        <v>1404.7999999999997</v>
      </c>
      <c r="G71" s="26">
        <f t="shared" si="28"/>
        <v>5.4548448600085102</v>
      </c>
      <c r="H71" s="10">
        <f>LOG10(D71*100*E71/F71*1000)</f>
        <v>5.3072303614464831</v>
      </c>
      <c r="I71" s="43">
        <f t="shared" ref="I71:I74" si="31">LOG10(D71*E71*25)</f>
        <v>4.8527848686805477</v>
      </c>
    </row>
    <row r="72" spans="1:10" x14ac:dyDescent="0.2">
      <c r="A72" s="4" t="s">
        <v>10</v>
      </c>
      <c r="B72">
        <v>16</v>
      </c>
      <c r="C72">
        <v>13</v>
      </c>
      <c r="D72">
        <f t="shared" si="30"/>
        <v>14.5</v>
      </c>
      <c r="E72" s="4">
        <v>100000</v>
      </c>
      <c r="F72" s="4">
        <f>2711-1744.7</f>
        <v>966.3</v>
      </c>
      <c r="G72" s="26">
        <f t="shared" si="28"/>
        <v>8.1613680022349744</v>
      </c>
      <c r="H72" s="10">
        <f t="shared" ref="H72:H74" si="32">LOG10(D72*100*E72/F72*1000)</f>
        <v>8.1762560226956218</v>
      </c>
      <c r="I72" s="43">
        <f t="shared" si="31"/>
        <v>7.5593080109070128</v>
      </c>
    </row>
    <row r="73" spans="1:10" x14ac:dyDescent="0.2">
      <c r="A73" s="4" t="s">
        <v>11</v>
      </c>
      <c r="B73">
        <v>57</v>
      </c>
      <c r="C73">
        <v>47</v>
      </c>
      <c r="D73">
        <f t="shared" si="30"/>
        <v>52</v>
      </c>
      <c r="E73" s="4">
        <v>10</v>
      </c>
      <c r="F73" s="4">
        <f>1809.3-1695.6</f>
        <v>113.70000000000005</v>
      </c>
      <c r="G73" s="26">
        <f t="shared" si="28"/>
        <v>4.7160033436347994</v>
      </c>
      <c r="H73" s="10">
        <f t="shared" si="32"/>
        <v>5.6602428789470638</v>
      </c>
      <c r="I73" s="43">
        <f t="shared" si="31"/>
        <v>4.1139433523068369</v>
      </c>
    </row>
    <row r="74" spans="1:10" ht="17" x14ac:dyDescent="0.2">
      <c r="A74" s="6" t="s">
        <v>12</v>
      </c>
      <c r="B74" s="8">
        <v>56</v>
      </c>
      <c r="C74" s="8">
        <v>57</v>
      </c>
      <c r="D74">
        <f t="shared" si="30"/>
        <v>56.5</v>
      </c>
      <c r="E74" s="6">
        <v>1000</v>
      </c>
      <c r="F74" s="6">
        <f>1822.5-1686</f>
        <v>136.5</v>
      </c>
      <c r="G74" s="26">
        <f t="shared" si="28"/>
        <v>6.7520484478194387</v>
      </c>
      <c r="H74" s="10">
        <f t="shared" si="32"/>
        <v>7.6169157964426635</v>
      </c>
      <c r="I74" s="43">
        <f t="shared" si="31"/>
        <v>6.1499884564914762</v>
      </c>
    </row>
    <row r="75" spans="1:10" s="30" customFormat="1" x14ac:dyDescent="0.2">
      <c r="A75" s="29"/>
      <c r="E75" s="29"/>
      <c r="F75" s="29"/>
      <c r="G75" s="36"/>
      <c r="H75" s="31"/>
      <c r="I75" s="45"/>
    </row>
    <row r="76" spans="1:10" ht="51" x14ac:dyDescent="0.2">
      <c r="A76" s="2" t="s">
        <v>29</v>
      </c>
      <c r="B76" s="39" t="s">
        <v>0</v>
      </c>
      <c r="C76" s="39"/>
      <c r="D76" s="6" t="s">
        <v>1</v>
      </c>
      <c r="E76" s="6" t="s">
        <v>2</v>
      </c>
      <c r="F76" s="6" t="s">
        <v>35</v>
      </c>
      <c r="G76" s="32" t="s">
        <v>16</v>
      </c>
      <c r="H76" s="37" t="s">
        <v>13</v>
      </c>
      <c r="I76" s="42" t="s">
        <v>40</v>
      </c>
    </row>
    <row r="77" spans="1:10" x14ac:dyDescent="0.2">
      <c r="A77" s="4" t="s">
        <v>14</v>
      </c>
      <c r="B77">
        <v>11</v>
      </c>
      <c r="C77">
        <v>7</v>
      </c>
      <c r="D77">
        <f>AVERAGE(B77:C77)</f>
        <v>9</v>
      </c>
      <c r="E77" s="4">
        <v>10000</v>
      </c>
      <c r="F77" s="4">
        <f>1758.6-1754</f>
        <v>4.5999999999999091</v>
      </c>
      <c r="G77" s="26">
        <f t="shared" si="28"/>
        <v>6.9542425094393252</v>
      </c>
      <c r="H77" s="10">
        <f>LOG10(D77*100*E77/F77*1000)</f>
        <v>9.2914846777577598</v>
      </c>
      <c r="I77" s="43">
        <f t="shared" ref="I77:I83" si="33">LOG10(D77*E77*25)</f>
        <v>6.3521825181113627</v>
      </c>
    </row>
    <row r="78" spans="1:10" x14ac:dyDescent="0.2">
      <c r="A78" s="1" t="s">
        <v>15</v>
      </c>
      <c r="B78">
        <v>27</v>
      </c>
      <c r="C78">
        <v>24</v>
      </c>
      <c r="D78">
        <f>AVERAGE(B78:C78)</f>
        <v>25.5</v>
      </c>
      <c r="E78" s="4">
        <v>100000</v>
      </c>
      <c r="F78" s="4">
        <f>1808.7-1759.1</f>
        <v>49.600000000000136</v>
      </c>
      <c r="G78" s="26">
        <f t="shared" si="28"/>
        <v>8.4065401804339555</v>
      </c>
      <c r="H78" s="10">
        <f>LOG10(D78*100*E78/F78*1000)</f>
        <v>9.7110585039437574</v>
      </c>
      <c r="I78" s="43">
        <f t="shared" si="33"/>
        <v>7.8044801891059929</v>
      </c>
    </row>
    <row r="79" spans="1:10" x14ac:dyDescent="0.2">
      <c r="A79" s="4" t="s">
        <v>8</v>
      </c>
      <c r="B79">
        <f>23/25</f>
        <v>0.92</v>
      </c>
      <c r="D79">
        <f>AVERAGE(B79:C79)</f>
        <v>0.92</v>
      </c>
      <c r="E79" s="4">
        <v>1</v>
      </c>
      <c r="F79" s="4">
        <f>2096.3-1690.9</f>
        <v>405.40000000000009</v>
      </c>
      <c r="G79" s="26">
        <f t="shared" si="28"/>
        <v>1.9637878273455553</v>
      </c>
      <c r="H79" s="10">
        <f>LOG10(D79*100*E79/F79*1000)</f>
        <v>2.3559040829885651</v>
      </c>
      <c r="I79" s="44">
        <f>LOG10(23)</f>
        <v>1.3617278360175928</v>
      </c>
      <c r="J79" s="10" t="s">
        <v>37</v>
      </c>
    </row>
    <row r="80" spans="1:10" x14ac:dyDescent="0.2">
      <c r="A80" s="4" t="s">
        <v>9</v>
      </c>
      <c r="B80">
        <v>9</v>
      </c>
      <c r="C80">
        <v>6</v>
      </c>
      <c r="D80">
        <f t="shared" ref="D80:D83" si="34">AVERAGE(B80:C80)</f>
        <v>7.5</v>
      </c>
      <c r="E80" s="4">
        <v>10</v>
      </c>
      <c r="F80" s="4">
        <f>3309.4-1674.1</f>
        <v>1635.3000000000002</v>
      </c>
      <c r="G80" s="26">
        <f t="shared" si="28"/>
        <v>3.8750612633917001</v>
      </c>
      <c r="H80" s="10">
        <f>LOG10(D80*100*E80/F80*1000)</f>
        <v>3.6614638266443409</v>
      </c>
      <c r="I80" s="43">
        <f t="shared" si="33"/>
        <v>3.2730012720637376</v>
      </c>
    </row>
    <row r="81" spans="1:9" x14ac:dyDescent="0.2">
      <c r="A81" s="4" t="s">
        <v>10</v>
      </c>
      <c r="B81">
        <v>9</v>
      </c>
      <c r="C81">
        <v>16</v>
      </c>
      <c r="D81">
        <f t="shared" si="34"/>
        <v>12.5</v>
      </c>
      <c r="E81" s="4">
        <v>100000</v>
      </c>
      <c r="F81" s="4">
        <f>3034.4-1686.5</f>
        <v>1347.9</v>
      </c>
      <c r="G81" s="26">
        <f t="shared" si="28"/>
        <v>8.0969100130080562</v>
      </c>
      <c r="H81" s="10">
        <f t="shared" ref="H81:H83" si="35">LOG10(D81*100*E81/F81*1000)</f>
        <v>7.9672523396953689</v>
      </c>
      <c r="I81" s="43">
        <f t="shared" si="33"/>
        <v>7.4948500216800937</v>
      </c>
    </row>
    <row r="82" spans="1:9" x14ac:dyDescent="0.2">
      <c r="A82" s="4" t="s">
        <v>11</v>
      </c>
      <c r="B82">
        <v>15</v>
      </c>
      <c r="C82">
        <v>11</v>
      </c>
      <c r="D82">
        <f t="shared" si="34"/>
        <v>13</v>
      </c>
      <c r="E82" s="4">
        <v>100</v>
      </c>
      <c r="F82" s="4">
        <f>2006.4-1883.1</f>
        <v>123.30000000000018</v>
      </c>
      <c r="G82" s="26">
        <f t="shared" si="28"/>
        <v>5.1139433523068369</v>
      </c>
      <c r="H82" s="10">
        <f t="shared" si="35"/>
        <v>6.0229802757111042</v>
      </c>
      <c r="I82" s="43">
        <f t="shared" si="33"/>
        <v>4.5118833609788744</v>
      </c>
    </row>
    <row r="83" spans="1:9" ht="17" x14ac:dyDescent="0.2">
      <c r="A83" s="6" t="s">
        <v>12</v>
      </c>
      <c r="B83" s="8">
        <v>19</v>
      </c>
      <c r="C83" s="8">
        <v>18</v>
      </c>
      <c r="D83">
        <f t="shared" si="34"/>
        <v>18.5</v>
      </c>
      <c r="E83" s="6">
        <v>10000</v>
      </c>
      <c r="F83" s="6">
        <f>1894.8-1690</f>
        <v>204.79999999999995</v>
      </c>
      <c r="G83" s="26">
        <f t="shared" si="28"/>
        <v>7.2671717284030137</v>
      </c>
      <c r="H83" s="10">
        <f t="shared" si="35"/>
        <v>7.9558417760992208</v>
      </c>
      <c r="I83" s="43">
        <f t="shared" si="33"/>
        <v>6.6651117370750512</v>
      </c>
    </row>
    <row r="84" spans="1:9" x14ac:dyDescent="0.2">
      <c r="A84" s="4"/>
      <c r="G84" s="26"/>
      <c r="H84" s="10"/>
      <c r="I84" s="43"/>
    </row>
    <row r="85" spans="1:9" ht="51" x14ac:dyDescent="0.2">
      <c r="A85" s="2" t="s">
        <v>30</v>
      </c>
      <c r="B85" s="39" t="s">
        <v>0</v>
      </c>
      <c r="C85" s="39"/>
      <c r="D85" s="6" t="s">
        <v>1</v>
      </c>
      <c r="E85" s="6" t="s">
        <v>2</v>
      </c>
      <c r="F85" s="6" t="s">
        <v>35</v>
      </c>
      <c r="G85" s="32" t="s">
        <v>16</v>
      </c>
      <c r="H85" s="37" t="s">
        <v>13</v>
      </c>
      <c r="I85" s="42" t="s">
        <v>40</v>
      </c>
    </row>
    <row r="86" spans="1:9" x14ac:dyDescent="0.2">
      <c r="A86" s="4" t="s">
        <v>14</v>
      </c>
      <c r="B86">
        <v>14</v>
      </c>
      <c r="C86">
        <v>12</v>
      </c>
      <c r="D86">
        <f>AVERAGE(B86:C86)</f>
        <v>13</v>
      </c>
      <c r="E86" s="4">
        <v>10000</v>
      </c>
      <c r="F86" s="4">
        <f>1752.7-1686.2</f>
        <v>66.5</v>
      </c>
      <c r="G86" s="26">
        <f>LOG10(D86*E86*100)</f>
        <v>7.1139433523068369</v>
      </c>
      <c r="H86" s="10">
        <f>LOG10(D86*100*E86/F86*1000)</f>
        <v>8.2911217070037324</v>
      </c>
      <c r="I86" s="43">
        <f t="shared" ref="I86" si="36">LOG10(D86*E86*25)</f>
        <v>6.5118833609788744</v>
      </c>
    </row>
    <row r="87" spans="1:9" x14ac:dyDescent="0.2">
      <c r="A87" s="1" t="s">
        <v>38</v>
      </c>
      <c r="D87" t="e">
        <f>AVERAGE(B87:C87)</f>
        <v>#DIV/0!</v>
      </c>
      <c r="G87" s="26" t="e">
        <f t="shared" si="28"/>
        <v>#DIV/0!</v>
      </c>
      <c r="H87" s="10"/>
      <c r="I87" s="43"/>
    </row>
    <row r="88" spans="1:9" x14ac:dyDescent="0.2">
      <c r="A88" s="4" t="s">
        <v>8</v>
      </c>
      <c r="B88">
        <v>0</v>
      </c>
      <c r="D88">
        <f>AVERAGE(B88:C88)</f>
        <v>0</v>
      </c>
      <c r="E88" s="4">
        <v>1</v>
      </c>
      <c r="F88" s="4">
        <f>2089.4-1745.3</f>
        <v>344.10000000000014</v>
      </c>
      <c r="G88" s="26" t="e">
        <f t="shared" si="28"/>
        <v>#NUM!</v>
      </c>
      <c r="H88" s="10" t="e">
        <f>LOG10(D88*100*E88/F88*1000)</f>
        <v>#NUM!</v>
      </c>
      <c r="I88" s="43"/>
    </row>
    <row r="89" spans="1:9" x14ac:dyDescent="0.2">
      <c r="A89" s="4" t="s">
        <v>9</v>
      </c>
      <c r="B89">
        <v>51</v>
      </c>
      <c r="C89">
        <v>50</v>
      </c>
      <c r="D89">
        <f t="shared" ref="D89:D92" si="37">AVERAGE(B89:C89)</f>
        <v>50.5</v>
      </c>
      <c r="E89" s="4">
        <v>100</v>
      </c>
      <c r="F89" s="4">
        <f>3241.8-1708.7</f>
        <v>1533.1000000000001</v>
      </c>
      <c r="G89" s="26">
        <f t="shared" si="28"/>
        <v>5.7032913781186609</v>
      </c>
      <c r="H89" s="10">
        <f>LOG10(D89*100*E89/F89*1000)</f>
        <v>5.5177208944764411</v>
      </c>
      <c r="I89" s="43">
        <f t="shared" ref="I89:I92" si="38">LOG10(D89*E89*25)</f>
        <v>5.1012313867906993</v>
      </c>
    </row>
    <row r="90" spans="1:9" x14ac:dyDescent="0.2">
      <c r="A90" s="4" t="s">
        <v>10</v>
      </c>
      <c r="B90">
        <v>28</v>
      </c>
      <c r="C90">
        <v>16</v>
      </c>
      <c r="D90">
        <f t="shared" si="37"/>
        <v>22</v>
      </c>
      <c r="E90" s="4">
        <v>100000</v>
      </c>
      <c r="F90" s="4">
        <f>3135.5-1702.7</f>
        <v>1432.8</v>
      </c>
      <c r="G90" s="26">
        <f t="shared" si="28"/>
        <v>8.3424226808222066</v>
      </c>
      <c r="H90" s="10">
        <f t="shared" ref="H90:H92" si="39">LOG10(D90*100*E90/F90*1000)</f>
        <v>8.1862371079812313</v>
      </c>
      <c r="I90" s="43">
        <f t="shared" si="38"/>
        <v>7.7403626894942441</v>
      </c>
    </row>
    <row r="91" spans="1:9" x14ac:dyDescent="0.2">
      <c r="A91" s="4" t="s">
        <v>11</v>
      </c>
      <c r="B91">
        <v>33</v>
      </c>
      <c r="C91">
        <v>21</v>
      </c>
      <c r="D91">
        <f t="shared" si="37"/>
        <v>27</v>
      </c>
      <c r="E91" s="4">
        <v>100</v>
      </c>
      <c r="F91" s="4">
        <f>1777.3-1639</f>
        <v>138.29999999999995</v>
      </c>
      <c r="G91" s="26">
        <f t="shared" si="28"/>
        <v>5.4313637641589869</v>
      </c>
      <c r="H91" s="10">
        <f t="shared" si="39"/>
        <v>6.2905415840496772</v>
      </c>
      <c r="I91" s="43">
        <f t="shared" si="38"/>
        <v>4.8293037728310253</v>
      </c>
    </row>
    <row r="92" spans="1:9" ht="17" x14ac:dyDescent="0.2">
      <c r="A92" s="6" t="s">
        <v>12</v>
      </c>
      <c r="B92" s="8">
        <v>38</v>
      </c>
      <c r="C92" s="8">
        <v>45</v>
      </c>
      <c r="D92">
        <f t="shared" si="37"/>
        <v>41.5</v>
      </c>
      <c r="E92" s="6">
        <v>10000</v>
      </c>
      <c r="F92" s="6">
        <f>1861.5-1674.8</f>
        <v>186.70000000000005</v>
      </c>
      <c r="G92" s="26">
        <f t="shared" si="28"/>
        <v>7.6180480967120925</v>
      </c>
      <c r="H92" s="10">
        <f t="shared" si="39"/>
        <v>8.3469037787630143</v>
      </c>
      <c r="I92" s="43">
        <f t="shared" si="38"/>
        <v>7.01598810538413</v>
      </c>
    </row>
    <row r="93" spans="1:9" x14ac:dyDescent="0.2">
      <c r="A93" s="4"/>
      <c r="G93" s="26"/>
      <c r="H93" s="10"/>
      <c r="I93" s="43"/>
    </row>
    <row r="94" spans="1:9" ht="51" x14ac:dyDescent="0.2">
      <c r="A94" s="2" t="s">
        <v>31</v>
      </c>
      <c r="B94" s="39" t="s">
        <v>0</v>
      </c>
      <c r="C94" s="39"/>
      <c r="D94" s="6" t="s">
        <v>1</v>
      </c>
      <c r="E94" s="6" t="s">
        <v>2</v>
      </c>
      <c r="F94" s="6" t="s">
        <v>35</v>
      </c>
      <c r="G94" s="32" t="s">
        <v>16</v>
      </c>
      <c r="H94" s="37" t="s">
        <v>13</v>
      </c>
      <c r="I94" s="42" t="s">
        <v>40</v>
      </c>
    </row>
    <row r="95" spans="1:9" x14ac:dyDescent="0.2">
      <c r="A95" s="4" t="s">
        <v>14</v>
      </c>
      <c r="B95">
        <v>45</v>
      </c>
      <c r="C95">
        <v>43</v>
      </c>
      <c r="D95">
        <f>AVERAGE(B95:C95)</f>
        <v>44</v>
      </c>
      <c r="E95" s="4">
        <v>100</v>
      </c>
      <c r="F95" s="4">
        <f>1766.5-1701.6</f>
        <v>64.900000000000091</v>
      </c>
      <c r="G95" s="26">
        <f t="shared" si="28"/>
        <v>5.6434526764861879</v>
      </c>
      <c r="H95" s="10">
        <f>LOG10(D95*100*E95/F95*1000)</f>
        <v>6.8312079796858178</v>
      </c>
      <c r="I95" s="43">
        <f t="shared" ref="I95" si="40">LOG10(D95*E95*25)</f>
        <v>5.0413926851582254</v>
      </c>
    </row>
    <row r="96" spans="1:9" x14ac:dyDescent="0.2">
      <c r="A96" s="1" t="s">
        <v>38</v>
      </c>
      <c r="D96" t="e">
        <f>AVERAGE(B96:C96)</f>
        <v>#DIV/0!</v>
      </c>
      <c r="G96" s="26" t="e">
        <f t="shared" si="28"/>
        <v>#DIV/0!</v>
      </c>
      <c r="H96" s="10"/>
      <c r="I96" s="43"/>
    </row>
    <row r="97" spans="1:10" x14ac:dyDescent="0.2">
      <c r="A97" s="4" t="s">
        <v>8</v>
      </c>
      <c r="B97">
        <v>39</v>
      </c>
      <c r="C97">
        <v>40</v>
      </c>
      <c r="D97">
        <f>AVERAGE(B97:C97)</f>
        <v>39.5</v>
      </c>
      <c r="E97" s="4">
        <v>10</v>
      </c>
      <c r="F97" s="4">
        <f>1988.4-1637.7</f>
        <v>350.70000000000005</v>
      </c>
      <c r="G97" s="26">
        <f t="shared" si="28"/>
        <v>4.5965970956264606</v>
      </c>
      <c r="H97" s="10">
        <f>LOG10(D97*100*E97/F97*1000)</f>
        <v>5.0516613297449577</v>
      </c>
      <c r="I97" s="43">
        <f t="shared" ref="I97:I101" si="41">LOG10(D97*E97*25)</f>
        <v>3.9945371042984976</v>
      </c>
    </row>
    <row r="98" spans="1:10" x14ac:dyDescent="0.2">
      <c r="A98" s="4" t="s">
        <v>9</v>
      </c>
      <c r="B98">
        <v>34</v>
      </c>
      <c r="C98">
        <v>37</v>
      </c>
      <c r="D98">
        <f t="shared" ref="D98:D101" si="42">AVERAGE(B98:C98)</f>
        <v>35.5</v>
      </c>
      <c r="E98" s="4">
        <v>10</v>
      </c>
      <c r="F98" s="4">
        <f>2903.9-1722.4</f>
        <v>1181.5</v>
      </c>
      <c r="G98" s="26">
        <f t="shared" si="28"/>
        <v>4.5502283530550942</v>
      </c>
      <c r="H98" s="10">
        <f>LOG10(D98*100*E98/F98*1000)</f>
        <v>4.4777946270867064</v>
      </c>
      <c r="I98" s="43">
        <f t="shared" si="41"/>
        <v>3.9481683617271317</v>
      </c>
    </row>
    <row r="99" spans="1:10" x14ac:dyDescent="0.2">
      <c r="A99" s="4" t="s">
        <v>10</v>
      </c>
      <c r="B99">
        <v>10</v>
      </c>
      <c r="C99">
        <v>13</v>
      </c>
      <c r="D99">
        <f t="shared" si="42"/>
        <v>11.5</v>
      </c>
      <c r="E99" s="4">
        <v>100000</v>
      </c>
      <c r="F99" s="4">
        <f>2412.9-1665.1</f>
        <v>747.80000000000018</v>
      </c>
      <c r="G99" s="26">
        <f t="shared" si="28"/>
        <v>8.0606978403536118</v>
      </c>
      <c r="H99" s="10">
        <f t="shared" ref="H99:H101" si="43">LOG10(D99*100*E99/F99*1000)</f>
        <v>8.1869123795354106</v>
      </c>
      <c r="I99" s="43">
        <f t="shared" si="41"/>
        <v>7.4586378490256493</v>
      </c>
    </row>
    <row r="100" spans="1:10" x14ac:dyDescent="0.2">
      <c r="A100" s="4" t="s">
        <v>11</v>
      </c>
      <c r="B100">
        <v>42</v>
      </c>
      <c r="C100">
        <v>23</v>
      </c>
      <c r="D100">
        <f t="shared" si="42"/>
        <v>32.5</v>
      </c>
      <c r="E100" s="4">
        <v>100</v>
      </c>
      <c r="F100" s="4">
        <f>1754.6-1643.9</f>
        <v>110.69999999999982</v>
      </c>
      <c r="G100" s="26">
        <f t="shared" si="28"/>
        <v>5.5118833609788744</v>
      </c>
      <c r="H100" s="10">
        <f t="shared" si="43"/>
        <v>6.4677357401001521</v>
      </c>
      <c r="I100" s="43">
        <f t="shared" si="41"/>
        <v>4.9098233696509119</v>
      </c>
    </row>
    <row r="101" spans="1:10" ht="17" x14ac:dyDescent="0.2">
      <c r="A101" s="6" t="s">
        <v>12</v>
      </c>
      <c r="B101" s="8">
        <v>25</v>
      </c>
      <c r="C101" s="8">
        <v>29</v>
      </c>
      <c r="D101">
        <f t="shared" si="42"/>
        <v>27</v>
      </c>
      <c r="E101" s="6">
        <v>10000</v>
      </c>
      <c r="F101" s="6">
        <f>1973.1-1841.1</f>
        <v>132</v>
      </c>
      <c r="G101" s="26">
        <f t="shared" si="28"/>
        <v>7.4313637641589869</v>
      </c>
      <c r="H101" s="10">
        <f t="shared" si="43"/>
        <v>8.3107898329531373</v>
      </c>
      <c r="I101" s="43">
        <f t="shared" si="41"/>
        <v>6.8293037728310253</v>
      </c>
    </row>
    <row r="102" spans="1:10" x14ac:dyDescent="0.2">
      <c r="A102" s="4"/>
      <c r="G102" s="26"/>
      <c r="H102" s="10"/>
      <c r="I102" s="43"/>
    </row>
    <row r="103" spans="1:10" ht="51" x14ac:dyDescent="0.2">
      <c r="A103" s="2" t="s">
        <v>32</v>
      </c>
      <c r="B103" s="39" t="s">
        <v>0</v>
      </c>
      <c r="C103" s="39"/>
      <c r="D103" s="6" t="s">
        <v>1</v>
      </c>
      <c r="E103" s="6" t="s">
        <v>2</v>
      </c>
      <c r="F103" s="6" t="s">
        <v>35</v>
      </c>
      <c r="G103" s="32" t="s">
        <v>16</v>
      </c>
      <c r="H103" s="37" t="s">
        <v>13</v>
      </c>
      <c r="I103" s="42" t="s">
        <v>40</v>
      </c>
    </row>
    <row r="104" spans="1:10" x14ac:dyDescent="0.2">
      <c r="A104" s="4" t="s">
        <v>14</v>
      </c>
      <c r="B104">
        <f>17/25</f>
        <v>0.68</v>
      </c>
      <c r="D104">
        <f>AVERAGE(B104:C104)</f>
        <v>0.68</v>
      </c>
      <c r="E104" s="4">
        <v>1</v>
      </c>
      <c r="F104" s="4">
        <f>1805.2-1786.4</f>
        <v>18.799999999999955</v>
      </c>
      <c r="G104" s="26">
        <f t="shared" si="28"/>
        <v>1.8325089127062364</v>
      </c>
      <c r="H104" s="10">
        <f>LOG10(D104*100*E104/F104*1000)</f>
        <v>3.5583510634425575</v>
      </c>
      <c r="I104" s="44">
        <f>LOG10(17)</f>
        <v>1.2304489213782739</v>
      </c>
      <c r="J104" s="10" t="s">
        <v>34</v>
      </c>
    </row>
    <row r="105" spans="1:10" x14ac:dyDescent="0.2">
      <c r="A105" s="1" t="s">
        <v>15</v>
      </c>
      <c r="B105">
        <v>46</v>
      </c>
      <c r="C105">
        <v>36</v>
      </c>
      <c r="D105">
        <f>AVERAGE(B105:C105)</f>
        <v>41</v>
      </c>
      <c r="E105" s="4">
        <v>1000</v>
      </c>
      <c r="F105" s="4">
        <f>1756.5-1696.7</f>
        <v>59.799999999999955</v>
      </c>
      <c r="G105" s="26">
        <f t="shared" si="28"/>
        <v>6.6127838567197355</v>
      </c>
      <c r="H105" s="10">
        <f>LOG10(D105*100*E105/F105*1000)</f>
        <v>7.8360826727313251</v>
      </c>
      <c r="I105" s="43">
        <f t="shared" ref="I105:I110" si="44">LOG10(D105*E105*25)</f>
        <v>6.0107238653917729</v>
      </c>
    </row>
    <row r="106" spans="1:10" x14ac:dyDescent="0.2">
      <c r="A106" s="4" t="s">
        <v>8</v>
      </c>
      <c r="B106">
        <v>90</v>
      </c>
      <c r="C106">
        <v>71</v>
      </c>
      <c r="D106">
        <f>AVERAGE(B106:C106)</f>
        <v>80.5</v>
      </c>
      <c r="E106" s="4">
        <v>100</v>
      </c>
      <c r="F106" s="4">
        <f>2303.6-1849</f>
        <v>454.59999999999991</v>
      </c>
      <c r="G106" s="26">
        <f t="shared" si="28"/>
        <v>5.9057958803678687</v>
      </c>
      <c r="H106" s="10">
        <f>LOG10(D106*100*E106/F106*1000)</f>
        <v>6.2481664489789166</v>
      </c>
      <c r="I106" s="43">
        <f t="shared" si="44"/>
        <v>5.3037358890399062</v>
      </c>
    </row>
    <row r="107" spans="1:10" x14ac:dyDescent="0.2">
      <c r="A107" s="4" t="s">
        <v>9</v>
      </c>
      <c r="B107">
        <v>22</v>
      </c>
      <c r="C107">
        <v>21</v>
      </c>
      <c r="D107">
        <f t="shared" ref="D107:D110" si="45">AVERAGE(B107:C107)</f>
        <v>21.5</v>
      </c>
      <c r="E107" s="4">
        <v>1000</v>
      </c>
      <c r="F107" s="4">
        <f>3223.9-1699.6</f>
        <v>1524.3000000000002</v>
      </c>
      <c r="G107" s="26">
        <f t="shared" si="28"/>
        <v>6.3324384599156049</v>
      </c>
      <c r="H107" s="10">
        <f>LOG10(D107*100*E107/F107*1000)</f>
        <v>6.1493680102856469</v>
      </c>
      <c r="I107" s="43">
        <f t="shared" si="44"/>
        <v>5.7303784685876433</v>
      </c>
    </row>
    <row r="108" spans="1:10" x14ac:dyDescent="0.2">
      <c r="A108" s="4" t="s">
        <v>10</v>
      </c>
      <c r="B108">
        <v>49</v>
      </c>
      <c r="C108">
        <v>42</v>
      </c>
      <c r="D108">
        <f t="shared" si="45"/>
        <v>45.5</v>
      </c>
      <c r="E108" s="4">
        <v>100000</v>
      </c>
      <c r="F108" s="4">
        <f>2843-1664.4</f>
        <v>1178.5999999999999</v>
      </c>
      <c r="G108" s="26">
        <f t="shared" si="28"/>
        <v>8.6580113966571126</v>
      </c>
      <c r="H108" s="10">
        <f t="shared" ref="H108:H110" si="46">LOG10(D108*100*E108/F108*1000)</f>
        <v>8.5866449598979813</v>
      </c>
      <c r="I108" s="43">
        <f t="shared" si="44"/>
        <v>8.0559514053291501</v>
      </c>
    </row>
    <row r="109" spans="1:10" x14ac:dyDescent="0.2">
      <c r="A109" s="4" t="s">
        <v>11</v>
      </c>
      <c r="B109">
        <v>12</v>
      </c>
      <c r="C109">
        <v>16</v>
      </c>
      <c r="D109">
        <f t="shared" si="45"/>
        <v>14</v>
      </c>
      <c r="E109" s="4">
        <v>1000</v>
      </c>
      <c r="F109" s="4">
        <f>1933.5-1811</f>
        <v>122.5</v>
      </c>
      <c r="G109" s="26">
        <f t="shared" si="28"/>
        <v>6.1461280356782382</v>
      </c>
      <c r="H109" s="10">
        <f t="shared" si="46"/>
        <v>7.0579919469776868</v>
      </c>
      <c r="I109" s="43">
        <f t="shared" si="44"/>
        <v>5.5440680443502757</v>
      </c>
    </row>
    <row r="110" spans="1:10" ht="17" x14ac:dyDescent="0.2">
      <c r="A110" s="6" t="s">
        <v>12</v>
      </c>
      <c r="B110" s="8">
        <v>47</v>
      </c>
      <c r="C110" s="8">
        <v>49</v>
      </c>
      <c r="D110">
        <f t="shared" si="45"/>
        <v>48</v>
      </c>
      <c r="E110" s="6">
        <v>10000</v>
      </c>
      <c r="F110" s="6">
        <f>2014.1-1810.9</f>
        <v>203.19999999999982</v>
      </c>
      <c r="G110" s="26">
        <f t="shared" si="28"/>
        <v>7.6812412373755876</v>
      </c>
      <c r="H110" s="10">
        <f t="shared" si="46"/>
        <v>8.3733175337637054</v>
      </c>
      <c r="I110" s="43">
        <f t="shared" si="44"/>
        <v>7.0791812460476251</v>
      </c>
    </row>
    <row r="111" spans="1:10" x14ac:dyDescent="0.2">
      <c r="A111" s="6"/>
      <c r="B111" s="8"/>
      <c r="C111" s="8"/>
      <c r="E111" s="6"/>
      <c r="F111" s="6"/>
      <c r="G111" s="26"/>
      <c r="H111" s="10"/>
      <c r="I111" s="43"/>
    </row>
    <row r="112" spans="1:10" ht="51" x14ac:dyDescent="0.2">
      <c r="A112" s="2" t="s">
        <v>33</v>
      </c>
      <c r="B112" s="39" t="s">
        <v>0</v>
      </c>
      <c r="C112" s="39"/>
      <c r="D112" s="6" t="s">
        <v>1</v>
      </c>
      <c r="E112" s="6" t="s">
        <v>2</v>
      </c>
      <c r="F112" s="6" t="s">
        <v>35</v>
      </c>
      <c r="G112" s="32" t="s">
        <v>16</v>
      </c>
      <c r="H112" s="37" t="s">
        <v>13</v>
      </c>
      <c r="I112" s="42" t="s">
        <v>40</v>
      </c>
    </row>
    <row r="113" spans="1:10" x14ac:dyDescent="0.2">
      <c r="A113" s="4" t="s">
        <v>14</v>
      </c>
      <c r="B113">
        <v>41</v>
      </c>
      <c r="C113">
        <v>33</v>
      </c>
      <c r="D113">
        <f>AVERAGE(B113:C113)</f>
        <v>37</v>
      </c>
      <c r="E113" s="4">
        <v>10000</v>
      </c>
      <c r="F113" s="4">
        <f>1708-1688.1</f>
        <v>19.900000000000091</v>
      </c>
      <c r="G113" s="26">
        <f t="shared" si="28"/>
        <v>7.568201724066995</v>
      </c>
      <c r="H113" s="10">
        <f>LOG10(D113*100*E113/F113*1000)</f>
        <v>9.2693486476572868</v>
      </c>
      <c r="I113" s="43">
        <f t="shared" ref="I113:I114" si="47">LOG10(D113*E113*25)</f>
        <v>6.9661417327390325</v>
      </c>
    </row>
    <row r="114" spans="1:10" x14ac:dyDescent="0.2">
      <c r="A114" s="1" t="s">
        <v>15</v>
      </c>
      <c r="B114">
        <v>39</v>
      </c>
      <c r="C114">
        <v>32</v>
      </c>
      <c r="D114">
        <f>AVERAGE(B114:C114)</f>
        <v>35.5</v>
      </c>
      <c r="E114" s="4">
        <v>10000</v>
      </c>
      <c r="F114" s="4">
        <f>1764.6-1749.5</f>
        <v>15.099999999999909</v>
      </c>
      <c r="G114" s="26">
        <f t="shared" si="28"/>
        <v>7.5502283530550942</v>
      </c>
      <c r="H114" s="10">
        <f>LOG10(D114*100*E114/F114*1000)</f>
        <v>9.3712514057619281</v>
      </c>
      <c r="I114" s="43">
        <f t="shared" si="47"/>
        <v>6.9481683617271317</v>
      </c>
    </row>
    <row r="115" spans="1:10" x14ac:dyDescent="0.2">
      <c r="A115" s="4" t="s">
        <v>8</v>
      </c>
      <c r="B115">
        <v>0</v>
      </c>
      <c r="D115">
        <f>AVERAGE(B115:C115)</f>
        <v>0</v>
      </c>
      <c r="E115" s="4">
        <v>1</v>
      </c>
      <c r="F115" s="4">
        <f>2182.4-1741</f>
        <v>441.40000000000009</v>
      </c>
      <c r="G115" s="26" t="e">
        <f t="shared" si="28"/>
        <v>#NUM!</v>
      </c>
      <c r="H115" s="10" t="e">
        <f>LOG10(D115*100*E115/F115*1000)</f>
        <v>#NUM!</v>
      </c>
      <c r="I115" s="43"/>
    </row>
    <row r="116" spans="1:10" x14ac:dyDescent="0.2">
      <c r="A116" s="4" t="s">
        <v>9</v>
      </c>
      <c r="B116">
        <f>13/25</f>
        <v>0.52</v>
      </c>
      <c r="D116">
        <f t="shared" ref="D116:D119" si="48">AVERAGE(B116:C116)</f>
        <v>0.52</v>
      </c>
      <c r="E116" s="4">
        <v>1</v>
      </c>
      <c r="F116" s="4">
        <f>3716.7-1790.2</f>
        <v>1926.4999999999998</v>
      </c>
      <c r="G116" s="26">
        <f t="shared" si="28"/>
        <v>1.7160033436347992</v>
      </c>
      <c r="H116" s="10">
        <f>LOG10(D116*100*E116/F116*1000)</f>
        <v>1.4312343302857795</v>
      </c>
      <c r="I116" s="44">
        <f>LOG10(13)</f>
        <v>1.1139433523068367</v>
      </c>
      <c r="J116" s="10" t="s">
        <v>39</v>
      </c>
    </row>
    <row r="117" spans="1:10" x14ac:dyDescent="0.2">
      <c r="A117" s="4" t="s">
        <v>10</v>
      </c>
      <c r="B117">
        <v>26</v>
      </c>
      <c r="C117">
        <v>34</v>
      </c>
      <c r="D117">
        <f t="shared" si="48"/>
        <v>30</v>
      </c>
      <c r="E117" s="4">
        <v>100000</v>
      </c>
      <c r="F117" s="4">
        <f>3064.4-1685</f>
        <v>1379.4</v>
      </c>
      <c r="G117" s="26">
        <f t="shared" si="28"/>
        <v>8.4771212547196626</v>
      </c>
      <c r="H117" s="10">
        <f t="shared" ref="H117:H119" si="49">LOG10(D117*100*E117/F117*1000)</f>
        <v>8.3374310330667392</v>
      </c>
      <c r="I117" s="43">
        <f t="shared" ref="I117:I119" si="50">LOG10(D117*E117*25)</f>
        <v>7.8750612633917001</v>
      </c>
    </row>
    <row r="118" spans="1:10" x14ac:dyDescent="0.2">
      <c r="A118" s="4" t="s">
        <v>11</v>
      </c>
      <c r="B118">
        <v>94</v>
      </c>
      <c r="C118">
        <v>100</v>
      </c>
      <c r="D118">
        <f t="shared" si="48"/>
        <v>97</v>
      </c>
      <c r="E118" s="4">
        <v>10</v>
      </c>
      <c r="F118" s="4">
        <f>1757.3-1613.2</f>
        <v>144.09999999999991</v>
      </c>
      <c r="G118" s="26">
        <f t="shared" si="28"/>
        <v>4.9867717342662452</v>
      </c>
      <c r="H118" s="10">
        <f t="shared" si="49"/>
        <v>5.8281077534522554</v>
      </c>
      <c r="I118" s="43">
        <f t="shared" si="50"/>
        <v>4.3847117429382827</v>
      </c>
    </row>
    <row r="119" spans="1:10" ht="16" customHeight="1" x14ac:dyDescent="0.2">
      <c r="A119" s="6" t="s">
        <v>12</v>
      </c>
      <c r="B119" s="8">
        <v>37</v>
      </c>
      <c r="C119" s="8"/>
      <c r="D119">
        <f t="shared" si="48"/>
        <v>37</v>
      </c>
      <c r="E119" s="6">
        <v>1000</v>
      </c>
      <c r="F119" s="6">
        <f>1834.7-1690.2</f>
        <v>144.5</v>
      </c>
      <c r="G119" s="26">
        <f t="shared" si="28"/>
        <v>6.568201724066995</v>
      </c>
      <c r="H119" s="10">
        <f t="shared" si="49"/>
        <v>7.408333876974428</v>
      </c>
      <c r="I119" s="43">
        <f t="shared" si="50"/>
        <v>5.9661417327390325</v>
      </c>
    </row>
    <row r="120" spans="1:10" x14ac:dyDescent="0.2">
      <c r="A120" s="2"/>
      <c r="B120" s="8"/>
      <c r="C120" s="8"/>
      <c r="D120" s="6"/>
      <c r="E120" s="6"/>
      <c r="F120" s="6"/>
      <c r="G120" s="32"/>
      <c r="H120" s="9"/>
      <c r="I120" s="43"/>
    </row>
    <row r="121" spans="1:10" x14ac:dyDescent="0.2">
      <c r="A121" s="4"/>
      <c r="G121" s="26"/>
      <c r="H121" s="10"/>
      <c r="I121" s="43"/>
    </row>
    <row r="122" spans="1:10" x14ac:dyDescent="0.2">
      <c r="A122" s="4"/>
      <c r="G122" s="26"/>
      <c r="H122" s="10"/>
      <c r="I122" s="43"/>
    </row>
    <row r="123" spans="1:10" x14ac:dyDescent="0.2">
      <c r="A123" s="4"/>
      <c r="G123" s="26"/>
      <c r="H123" s="10"/>
      <c r="I123" s="43"/>
    </row>
    <row r="124" spans="1:10" x14ac:dyDescent="0.2">
      <c r="A124" s="4"/>
      <c r="G124" s="26"/>
      <c r="H124" s="10"/>
      <c r="I124" s="43"/>
    </row>
    <row r="125" spans="1:10" x14ac:dyDescent="0.2">
      <c r="A125" s="6"/>
      <c r="B125" s="8"/>
      <c r="C125" s="8"/>
      <c r="E125" s="6"/>
      <c r="F125" s="6"/>
      <c r="G125" s="32"/>
      <c r="H125" s="10"/>
      <c r="I125" s="43"/>
    </row>
    <row r="126" spans="1:10" x14ac:dyDescent="0.2">
      <c r="A126" s="4"/>
      <c r="G126" s="26"/>
      <c r="H126" s="10"/>
      <c r="I126" s="43"/>
    </row>
    <row r="127" spans="1:10" x14ac:dyDescent="0.2">
      <c r="A127" s="2"/>
      <c r="B127" s="8"/>
      <c r="C127" s="8"/>
      <c r="D127" s="6"/>
      <c r="E127" s="6"/>
      <c r="F127" s="6"/>
      <c r="G127" s="32"/>
      <c r="H127" s="9"/>
      <c r="I127" s="43"/>
    </row>
    <row r="128" spans="1:10" x14ac:dyDescent="0.2">
      <c r="A128" s="4"/>
      <c r="G128" s="26"/>
      <c r="H128" s="10"/>
      <c r="I128" s="43"/>
    </row>
    <row r="129" spans="1:9" x14ac:dyDescent="0.2">
      <c r="A129" s="4"/>
      <c r="G129" s="26"/>
      <c r="H129" s="10"/>
      <c r="I129" s="43"/>
    </row>
    <row r="130" spans="1:9" ht="18" customHeight="1" x14ac:dyDescent="0.2">
      <c r="A130" s="4"/>
      <c r="G130" s="26"/>
      <c r="H130" s="10"/>
      <c r="I130" s="42"/>
    </row>
    <row r="131" spans="1:9" x14ac:dyDescent="0.2">
      <c r="A131" s="4"/>
      <c r="G131" s="26"/>
      <c r="H131" s="10"/>
      <c r="I131" s="43"/>
    </row>
    <row r="132" spans="1:9" x14ac:dyDescent="0.2">
      <c r="A132" s="6"/>
      <c r="B132" s="8"/>
      <c r="C132" s="8"/>
      <c r="E132" s="6"/>
      <c r="F132" s="6"/>
      <c r="G132" s="32"/>
      <c r="H132" s="10"/>
      <c r="I132" s="43"/>
    </row>
    <row r="133" spans="1:9" x14ac:dyDescent="0.2">
      <c r="A133" s="4"/>
      <c r="G133" s="26"/>
      <c r="H133" s="10"/>
      <c r="I133" s="43"/>
    </row>
    <row r="134" spans="1:9" x14ac:dyDescent="0.2">
      <c r="A134" s="2"/>
      <c r="B134" s="8"/>
      <c r="C134" s="8"/>
      <c r="D134" s="6"/>
      <c r="E134" s="6"/>
      <c r="F134" s="6"/>
      <c r="G134" s="32"/>
      <c r="H134" s="9"/>
      <c r="I134" s="43"/>
    </row>
    <row r="135" spans="1:9" x14ac:dyDescent="0.2">
      <c r="A135" s="4"/>
      <c r="G135" s="26"/>
      <c r="H135" s="10"/>
      <c r="I135" s="43"/>
    </row>
    <row r="136" spans="1:9" x14ac:dyDescent="0.2">
      <c r="A136" s="4"/>
      <c r="G136" s="26"/>
      <c r="H136" s="10"/>
      <c r="I136" s="43"/>
    </row>
    <row r="137" spans="1:9" x14ac:dyDescent="0.2">
      <c r="A137" s="4"/>
      <c r="G137" s="26"/>
      <c r="H137" s="10"/>
      <c r="I137" s="43"/>
    </row>
    <row r="138" spans="1:9" x14ac:dyDescent="0.2">
      <c r="A138" s="4"/>
      <c r="G138" s="26"/>
      <c r="H138" s="10"/>
      <c r="I138" s="43"/>
    </row>
    <row r="139" spans="1:9" x14ac:dyDescent="0.2">
      <c r="A139" s="6"/>
      <c r="B139" s="8"/>
      <c r="C139" s="8"/>
      <c r="E139" s="6"/>
      <c r="F139" s="6"/>
      <c r="G139" s="32"/>
      <c r="H139" s="10"/>
      <c r="I139" s="43"/>
    </row>
    <row r="140" spans="1:9" x14ac:dyDescent="0.2">
      <c r="A140" s="13"/>
      <c r="B140" s="14"/>
      <c r="C140" s="14"/>
      <c r="E140" s="13"/>
      <c r="F140" s="13"/>
      <c r="G140" s="33"/>
      <c r="H140" s="10"/>
      <c r="I140" s="43"/>
    </row>
    <row r="141" spans="1:9" x14ac:dyDescent="0.2">
      <c r="A141" s="2"/>
      <c r="B141" s="8"/>
      <c r="C141" s="8"/>
      <c r="D141" s="6"/>
      <c r="E141" s="6"/>
      <c r="F141" s="6"/>
      <c r="G141" s="32"/>
      <c r="H141" s="9"/>
      <c r="I141" s="43"/>
    </row>
    <row r="142" spans="1:9" x14ac:dyDescent="0.2">
      <c r="A142" s="4"/>
      <c r="G142" s="26"/>
      <c r="H142" s="10"/>
      <c r="I142" s="43"/>
    </row>
    <row r="143" spans="1:9" x14ac:dyDescent="0.2">
      <c r="A143" s="4"/>
      <c r="G143" s="26"/>
      <c r="H143" s="10"/>
      <c r="I143" s="43"/>
    </row>
    <row r="144" spans="1:9" x14ac:dyDescent="0.2">
      <c r="A144" s="4"/>
      <c r="G144" s="26"/>
      <c r="H144" s="10"/>
      <c r="I144" s="43"/>
    </row>
    <row r="145" spans="1:9" x14ac:dyDescent="0.2">
      <c r="A145" s="4"/>
      <c r="G145" s="26"/>
      <c r="H145" s="10"/>
      <c r="I145" s="43"/>
    </row>
    <row r="146" spans="1:9" x14ac:dyDescent="0.2">
      <c r="A146" s="6"/>
      <c r="B146" s="8"/>
      <c r="C146" s="8"/>
      <c r="E146" s="6"/>
      <c r="F146" s="6"/>
      <c r="G146" s="32"/>
      <c r="H146" s="10"/>
      <c r="I146" s="43"/>
    </row>
    <row r="147" spans="1:9" x14ac:dyDescent="0.2">
      <c r="A147" s="4"/>
      <c r="G147" s="26"/>
      <c r="H147" s="10"/>
      <c r="I147" s="43"/>
    </row>
    <row r="148" spans="1:9" x14ac:dyDescent="0.2">
      <c r="A148" s="2"/>
      <c r="B148" s="8"/>
      <c r="C148" s="8"/>
      <c r="D148" s="6"/>
      <c r="E148" s="6"/>
      <c r="F148" s="6"/>
      <c r="G148" s="32"/>
      <c r="H148" s="9"/>
      <c r="I148" s="43"/>
    </row>
    <row r="149" spans="1:9" x14ac:dyDescent="0.2">
      <c r="A149" s="4"/>
      <c r="G149" s="26"/>
      <c r="H149" s="10"/>
      <c r="I149" s="43"/>
    </row>
    <row r="150" spans="1:9" x14ac:dyDescent="0.2">
      <c r="A150" s="4"/>
      <c r="G150" s="26"/>
      <c r="H150" s="10"/>
      <c r="I150" s="43"/>
    </row>
    <row r="151" spans="1:9" x14ac:dyDescent="0.2">
      <c r="A151" s="4"/>
      <c r="G151" s="26"/>
      <c r="H151" s="10"/>
      <c r="I151" s="43"/>
    </row>
    <row r="152" spans="1:9" x14ac:dyDescent="0.2">
      <c r="A152" s="4"/>
      <c r="G152" s="26"/>
      <c r="H152" s="10"/>
      <c r="I152" s="43"/>
    </row>
    <row r="153" spans="1:9" x14ac:dyDescent="0.2">
      <c r="A153" s="6"/>
      <c r="B153" s="8"/>
      <c r="C153" s="8"/>
      <c r="E153" s="6"/>
      <c r="F153" s="6"/>
      <c r="G153" s="32"/>
      <c r="H153" s="10"/>
      <c r="I153" s="43"/>
    </row>
    <row r="154" spans="1:9" x14ac:dyDescent="0.2">
      <c r="A154" s="4"/>
      <c r="G154" s="26"/>
      <c r="H154" s="10"/>
      <c r="I154" s="43"/>
    </row>
    <row r="155" spans="1:9" x14ac:dyDescent="0.2">
      <c r="A155" s="2"/>
      <c r="B155" s="8"/>
      <c r="C155" s="8"/>
      <c r="D155" s="6"/>
      <c r="E155" s="6"/>
      <c r="F155" s="6"/>
      <c r="G155" s="32"/>
      <c r="H155" s="9"/>
      <c r="I155" s="43"/>
    </row>
    <row r="156" spans="1:9" x14ac:dyDescent="0.2">
      <c r="A156" s="4"/>
      <c r="G156" s="26"/>
      <c r="H156" s="10"/>
      <c r="I156" s="43"/>
    </row>
    <row r="157" spans="1:9" x14ac:dyDescent="0.2">
      <c r="A157" s="4"/>
      <c r="G157" s="26"/>
      <c r="H157" s="10"/>
      <c r="I157" s="43"/>
    </row>
    <row r="158" spans="1:9" x14ac:dyDescent="0.2">
      <c r="A158" s="4"/>
      <c r="G158" s="26"/>
      <c r="H158" s="10"/>
      <c r="I158" s="43"/>
    </row>
    <row r="159" spans="1:9" x14ac:dyDescent="0.2">
      <c r="A159" s="4"/>
      <c r="G159" s="26"/>
      <c r="H159" s="10"/>
      <c r="I159" s="43"/>
    </row>
    <row r="160" spans="1:9" x14ac:dyDescent="0.2">
      <c r="A160" s="6"/>
      <c r="B160" s="8"/>
      <c r="C160" s="8"/>
      <c r="E160" s="6"/>
      <c r="F160" s="6"/>
      <c r="G160" s="32"/>
      <c r="H160" s="10"/>
      <c r="I160" s="43"/>
    </row>
    <row r="161" spans="1:9" x14ac:dyDescent="0.2">
      <c r="A161" s="4"/>
      <c r="G161" s="26"/>
      <c r="H161" s="10"/>
      <c r="I161" s="43"/>
    </row>
    <row r="162" spans="1:9" x14ac:dyDescent="0.2">
      <c r="A162" s="2"/>
      <c r="B162" s="8"/>
      <c r="C162" s="8"/>
      <c r="D162" s="6"/>
      <c r="E162" s="6"/>
      <c r="F162" s="6"/>
      <c r="G162" s="32"/>
      <c r="H162" s="9"/>
      <c r="I162" s="43"/>
    </row>
    <row r="163" spans="1:9" x14ac:dyDescent="0.2">
      <c r="A163" s="4"/>
      <c r="G163" s="26"/>
      <c r="H163" s="10"/>
      <c r="I163" s="42"/>
    </row>
    <row r="164" spans="1:9" x14ac:dyDescent="0.2">
      <c r="A164" s="4"/>
      <c r="G164" s="26"/>
      <c r="H164" s="10"/>
      <c r="I164" s="43"/>
    </row>
    <row r="165" spans="1:9" x14ac:dyDescent="0.2">
      <c r="A165" s="4"/>
      <c r="G165" s="26"/>
      <c r="H165" s="10"/>
      <c r="I165" s="43"/>
    </row>
    <row r="166" spans="1:9" x14ac:dyDescent="0.2">
      <c r="A166" s="4"/>
      <c r="G166" s="26"/>
      <c r="H166" s="10"/>
      <c r="I166" s="43"/>
    </row>
    <row r="167" spans="1:9" x14ac:dyDescent="0.2">
      <c r="A167" s="6"/>
      <c r="B167" s="8"/>
      <c r="C167" s="8"/>
      <c r="E167" s="6"/>
      <c r="F167" s="6"/>
      <c r="G167" s="32"/>
      <c r="H167" s="10"/>
      <c r="I167" s="43"/>
    </row>
    <row r="168" spans="1:9" x14ac:dyDescent="0.2">
      <c r="A168" s="4"/>
      <c r="G168" s="26"/>
      <c r="H168" s="10"/>
      <c r="I168" s="43"/>
    </row>
    <row r="169" spans="1:9" x14ac:dyDescent="0.2">
      <c r="A169" s="2"/>
      <c r="B169" s="6"/>
      <c r="C169" s="6"/>
      <c r="D169" s="6"/>
      <c r="E169" s="6"/>
      <c r="F169" s="6"/>
      <c r="G169" s="32"/>
      <c r="H169" s="9"/>
      <c r="I169" s="43"/>
    </row>
    <row r="170" spans="1:9" x14ac:dyDescent="0.2">
      <c r="A170" s="4"/>
      <c r="G170" s="26"/>
      <c r="H170" s="10"/>
      <c r="I170" s="43"/>
    </row>
    <row r="171" spans="1:9" x14ac:dyDescent="0.2">
      <c r="A171" s="4"/>
      <c r="G171" s="26"/>
      <c r="H171" s="10"/>
      <c r="I171" s="43"/>
    </row>
    <row r="172" spans="1:9" x14ac:dyDescent="0.2">
      <c r="A172" s="4"/>
      <c r="G172" s="26"/>
      <c r="H172" s="10"/>
      <c r="I172" s="43"/>
    </row>
    <row r="173" spans="1:9" x14ac:dyDescent="0.2">
      <c r="A173" s="4"/>
      <c r="G173" s="26"/>
      <c r="H173" s="10"/>
      <c r="I173" s="43"/>
    </row>
    <row r="174" spans="1:9" x14ac:dyDescent="0.2">
      <c r="A174" s="6"/>
      <c r="B174" s="8"/>
      <c r="C174" s="8"/>
      <c r="E174" s="6"/>
      <c r="F174" s="6"/>
      <c r="G174" s="32"/>
      <c r="H174" s="10"/>
      <c r="I174" s="43"/>
    </row>
    <row r="175" spans="1:9" x14ac:dyDescent="0.2">
      <c r="A175" s="4"/>
      <c r="B175" s="14"/>
      <c r="G175" s="26"/>
      <c r="H175" s="10"/>
      <c r="I175" s="43"/>
    </row>
    <row r="176" spans="1:9" x14ac:dyDescent="0.2">
      <c r="A176" s="6"/>
      <c r="B176" s="8"/>
      <c r="C176" s="8"/>
      <c r="D176" s="6"/>
      <c r="E176" s="6"/>
      <c r="F176" s="6"/>
      <c r="G176" s="32"/>
      <c r="H176" s="10"/>
      <c r="I176" s="43"/>
    </row>
    <row r="177" spans="1:9" x14ac:dyDescent="0.2">
      <c r="A177" s="2"/>
      <c r="B177" s="8"/>
      <c r="C177" s="8"/>
      <c r="D177" s="6"/>
      <c r="E177" s="6"/>
      <c r="F177" s="6"/>
      <c r="G177" s="32"/>
      <c r="H177" s="9"/>
      <c r="I177" s="43"/>
    </row>
    <row r="178" spans="1:9" x14ac:dyDescent="0.2">
      <c r="A178" s="4"/>
      <c r="G178" s="26"/>
      <c r="H178" s="10"/>
      <c r="I178" s="43"/>
    </row>
    <row r="179" spans="1:9" x14ac:dyDescent="0.2">
      <c r="A179" s="4"/>
      <c r="G179" s="26"/>
      <c r="H179" s="10"/>
      <c r="I179" s="43"/>
    </row>
    <row r="180" spans="1:9" x14ac:dyDescent="0.2">
      <c r="A180" s="4"/>
      <c r="G180" s="26"/>
      <c r="H180" s="10"/>
      <c r="I180" s="43"/>
    </row>
    <row r="181" spans="1:9" x14ac:dyDescent="0.2">
      <c r="A181" s="4"/>
      <c r="G181" s="26"/>
      <c r="H181" s="10"/>
      <c r="I181" s="43"/>
    </row>
    <row r="182" spans="1:9" x14ac:dyDescent="0.2">
      <c r="A182" s="6"/>
      <c r="B182" s="8"/>
      <c r="C182" s="8"/>
      <c r="E182" s="6"/>
      <c r="F182" s="6"/>
      <c r="G182" s="32"/>
      <c r="H182" s="10"/>
      <c r="I182" s="43"/>
    </row>
    <row r="183" spans="1:9" x14ac:dyDescent="0.2">
      <c r="A183" s="4"/>
      <c r="G183" s="26"/>
      <c r="H183" s="10"/>
      <c r="I183" s="43"/>
    </row>
    <row r="184" spans="1:9" x14ac:dyDescent="0.2">
      <c r="A184" s="4"/>
      <c r="G184" s="26"/>
      <c r="H184" s="10"/>
      <c r="I184" s="43"/>
    </row>
    <row r="185" spans="1:9" x14ac:dyDescent="0.2">
      <c r="A185" s="4"/>
      <c r="G185" s="26"/>
      <c r="H185" s="10"/>
      <c r="I185" s="43"/>
    </row>
    <row r="186" spans="1:9" x14ac:dyDescent="0.2">
      <c r="A186" s="4"/>
      <c r="G186" s="26"/>
      <c r="H186" s="10"/>
      <c r="I186" s="43"/>
    </row>
    <row r="187" spans="1:9" x14ac:dyDescent="0.2">
      <c r="A187" s="6"/>
      <c r="C187" s="8"/>
      <c r="E187" s="6"/>
      <c r="F187" s="6"/>
      <c r="G187" s="32"/>
      <c r="H187" s="10"/>
      <c r="I187" s="43"/>
    </row>
    <row r="188" spans="1:9" x14ac:dyDescent="0.2">
      <c r="A188" s="13"/>
      <c r="B188" s="14"/>
      <c r="C188" s="14"/>
      <c r="E188" s="13"/>
      <c r="F188" s="13"/>
      <c r="G188" s="33"/>
      <c r="H188" s="10"/>
      <c r="I188" s="43"/>
    </row>
    <row r="189" spans="1:9" x14ac:dyDescent="0.2">
      <c r="A189" s="13"/>
      <c r="B189" s="14"/>
      <c r="C189" s="14"/>
      <c r="E189" s="13"/>
      <c r="F189" s="13"/>
      <c r="G189" s="33"/>
      <c r="H189" s="10"/>
      <c r="I189" s="43"/>
    </row>
    <row r="190" spans="1:9" x14ac:dyDescent="0.2">
      <c r="A190" s="13"/>
      <c r="B190" s="14"/>
      <c r="C190" s="14"/>
      <c r="E190" s="13"/>
      <c r="F190" s="13"/>
      <c r="G190" s="33"/>
      <c r="H190" s="10"/>
      <c r="I190" s="43"/>
    </row>
    <row r="191" spans="1:9" x14ac:dyDescent="0.2">
      <c r="A191" s="4"/>
      <c r="B191" s="14"/>
      <c r="G191" s="26"/>
      <c r="H191" s="10"/>
      <c r="I191" s="43"/>
    </row>
    <row r="192" spans="1:9" x14ac:dyDescent="0.2">
      <c r="A192" s="4"/>
      <c r="B192" s="14"/>
      <c r="G192" s="26"/>
      <c r="H192" s="10"/>
      <c r="I192" s="43"/>
    </row>
    <row r="193" spans="1:9" x14ac:dyDescent="0.2">
      <c r="A193" s="12"/>
      <c r="B193" s="8"/>
      <c r="C193" s="8"/>
      <c r="D193" s="6"/>
      <c r="E193" s="6"/>
      <c r="F193" s="6"/>
      <c r="G193" s="32"/>
      <c r="H193" s="9"/>
      <c r="I193" s="43"/>
    </row>
    <row r="194" spans="1:9" x14ac:dyDescent="0.2">
      <c r="A194" s="4"/>
      <c r="G194" s="26"/>
      <c r="H194" s="10"/>
      <c r="I194" s="42"/>
    </row>
    <row r="195" spans="1:9" x14ac:dyDescent="0.2">
      <c r="A195" s="4"/>
      <c r="G195" s="26"/>
      <c r="H195" s="10"/>
      <c r="I195" s="43"/>
    </row>
    <row r="196" spans="1:9" x14ac:dyDescent="0.2">
      <c r="A196" s="4"/>
      <c r="G196" s="26"/>
      <c r="H196" s="10"/>
      <c r="I196" s="43"/>
    </row>
    <row r="197" spans="1:9" x14ac:dyDescent="0.2">
      <c r="A197" s="4"/>
      <c r="G197" s="26"/>
      <c r="H197" s="10"/>
      <c r="I197" s="43"/>
    </row>
    <row r="198" spans="1:9" x14ac:dyDescent="0.2">
      <c r="A198" s="6"/>
      <c r="B198" s="8"/>
      <c r="C198" s="8"/>
      <c r="E198" s="6"/>
      <c r="F198" s="6"/>
      <c r="G198" s="32"/>
      <c r="H198" s="10"/>
      <c r="I198" s="43"/>
    </row>
    <row r="199" spans="1:9" x14ac:dyDescent="0.2">
      <c r="A199" s="4"/>
      <c r="G199" s="26"/>
      <c r="H199" s="10"/>
      <c r="I199" s="43"/>
    </row>
    <row r="200" spans="1:9" x14ac:dyDescent="0.2">
      <c r="A200" s="4"/>
      <c r="G200" s="26"/>
      <c r="H200" s="10"/>
      <c r="I200" s="43"/>
    </row>
    <row r="201" spans="1:9" x14ac:dyDescent="0.2">
      <c r="A201" s="4"/>
      <c r="G201" s="26"/>
      <c r="H201" s="10"/>
      <c r="I201" s="43"/>
    </row>
    <row r="202" spans="1:9" x14ac:dyDescent="0.2">
      <c r="A202" s="4"/>
      <c r="G202" s="26"/>
      <c r="H202" s="10"/>
      <c r="I202" s="43"/>
    </row>
    <row r="203" spans="1:9" x14ac:dyDescent="0.2">
      <c r="A203" s="4"/>
      <c r="G203" s="26"/>
      <c r="H203" s="10"/>
      <c r="I203" s="43"/>
    </row>
    <row r="204" spans="1:9" x14ac:dyDescent="0.2">
      <c r="A204" s="13"/>
      <c r="B204" s="14"/>
      <c r="C204" s="14"/>
      <c r="E204" s="13"/>
      <c r="F204" s="13"/>
      <c r="G204" s="33"/>
      <c r="H204" s="10"/>
      <c r="I204" s="43"/>
    </row>
    <row r="205" spans="1:9" x14ac:dyDescent="0.2">
      <c r="A205" s="13"/>
      <c r="B205" s="14"/>
      <c r="C205" s="14"/>
      <c r="E205" s="13"/>
      <c r="F205" s="13"/>
      <c r="G205" s="33"/>
      <c r="H205" s="10"/>
      <c r="I205" s="43"/>
    </row>
    <row r="206" spans="1:9" x14ac:dyDescent="0.2">
      <c r="A206" s="13"/>
      <c r="B206" s="14"/>
      <c r="C206" s="14"/>
      <c r="E206" s="13"/>
      <c r="F206" s="13"/>
      <c r="G206" s="33"/>
      <c r="H206" s="10"/>
      <c r="I206" s="43"/>
    </row>
    <row r="207" spans="1:9" x14ac:dyDescent="0.2">
      <c r="A207" s="4"/>
      <c r="B207" s="14"/>
      <c r="C207" s="14"/>
      <c r="G207" s="26"/>
      <c r="H207" s="10"/>
      <c r="I207" s="46"/>
    </row>
    <row r="208" spans="1:9" x14ac:dyDescent="0.2">
      <c r="A208" s="4"/>
      <c r="B208" s="14"/>
      <c r="G208" s="26"/>
      <c r="H208" s="10"/>
      <c r="I208" s="46"/>
    </row>
    <row r="209" spans="1:9" x14ac:dyDescent="0.2">
      <c r="A209" s="12"/>
      <c r="B209" s="8"/>
      <c r="C209" s="8"/>
      <c r="D209" s="6"/>
      <c r="E209" s="6"/>
      <c r="F209" s="6"/>
      <c r="G209" s="32"/>
      <c r="H209" s="9"/>
      <c r="I209" s="46"/>
    </row>
    <row r="210" spans="1:9" x14ac:dyDescent="0.2">
      <c r="A210" s="4"/>
      <c r="G210" s="26"/>
      <c r="H210" s="10"/>
      <c r="I210" s="46"/>
    </row>
    <row r="211" spans="1:9" x14ac:dyDescent="0.2">
      <c r="A211" s="4"/>
      <c r="G211" s="26"/>
      <c r="H211" s="10"/>
      <c r="I211" s="46"/>
    </row>
    <row r="212" spans="1:9" x14ac:dyDescent="0.2">
      <c r="A212" s="4"/>
      <c r="G212" s="26"/>
      <c r="H212" s="10"/>
      <c r="I212" s="46"/>
    </row>
    <row r="213" spans="1:9" x14ac:dyDescent="0.2">
      <c r="A213" s="4"/>
      <c r="G213" s="26"/>
      <c r="H213" s="10"/>
      <c r="I213" s="46"/>
    </row>
    <row r="214" spans="1:9" x14ac:dyDescent="0.2">
      <c r="A214" s="6"/>
      <c r="B214" s="8"/>
      <c r="C214" s="8"/>
      <c r="E214" s="6"/>
      <c r="F214" s="6"/>
      <c r="G214" s="32"/>
      <c r="H214" s="10"/>
      <c r="I214" s="46"/>
    </row>
    <row r="215" spans="1:9" x14ac:dyDescent="0.2">
      <c r="A215" s="4"/>
      <c r="G215" s="26"/>
      <c r="H215" s="10"/>
      <c r="I215" s="46"/>
    </row>
    <row r="216" spans="1:9" x14ac:dyDescent="0.2">
      <c r="A216" s="4"/>
      <c r="G216" s="26"/>
      <c r="H216" s="10"/>
      <c r="I216" s="46"/>
    </row>
    <row r="217" spans="1:9" x14ac:dyDescent="0.2">
      <c r="A217" s="4"/>
      <c r="G217" s="26"/>
      <c r="H217" s="10"/>
      <c r="I217" s="46"/>
    </row>
    <row r="218" spans="1:9" x14ac:dyDescent="0.2">
      <c r="A218" s="4"/>
      <c r="G218" s="26"/>
      <c r="H218" s="10"/>
      <c r="I218" s="46"/>
    </row>
    <row r="219" spans="1:9" x14ac:dyDescent="0.2">
      <c r="A219" s="4"/>
      <c r="G219" s="26"/>
      <c r="H219" s="10"/>
      <c r="I219" s="46"/>
    </row>
    <row r="220" spans="1:9" x14ac:dyDescent="0.2">
      <c r="A220" s="13"/>
      <c r="B220" s="14"/>
      <c r="C220" s="14"/>
      <c r="E220" s="13"/>
      <c r="F220" s="13"/>
      <c r="G220" s="33"/>
      <c r="H220" s="10"/>
      <c r="I220" s="46"/>
    </row>
    <row r="221" spans="1:9" x14ac:dyDescent="0.2">
      <c r="A221" s="13"/>
      <c r="B221" s="14"/>
      <c r="C221" s="14"/>
      <c r="E221" s="13"/>
      <c r="F221" s="13"/>
      <c r="G221" s="33"/>
      <c r="H221" s="10"/>
      <c r="I221" s="46"/>
    </row>
    <row r="222" spans="1:9" x14ac:dyDescent="0.2">
      <c r="A222" s="13"/>
      <c r="B222" s="14"/>
      <c r="C222" s="14"/>
      <c r="E222" s="13"/>
      <c r="F222" s="13"/>
      <c r="G222" s="33"/>
      <c r="H222" s="10"/>
      <c r="I222" s="46"/>
    </row>
    <row r="223" spans="1:9" x14ac:dyDescent="0.2">
      <c r="A223" s="4"/>
      <c r="B223" s="14"/>
      <c r="G223" s="26"/>
      <c r="H223" s="10"/>
      <c r="I223" s="47"/>
    </row>
    <row r="224" spans="1:9" x14ac:dyDescent="0.2">
      <c r="A224" s="4"/>
      <c r="B224" s="14"/>
      <c r="G224" s="26"/>
      <c r="H224" s="10"/>
      <c r="I224" s="47"/>
    </row>
    <row r="225" spans="1:9" x14ac:dyDescent="0.2">
      <c r="A225" s="12"/>
      <c r="B225" s="8"/>
      <c r="C225" s="8"/>
      <c r="D225" s="6"/>
      <c r="E225" s="6"/>
      <c r="F225" s="6"/>
      <c r="G225" s="32"/>
      <c r="H225" s="9"/>
      <c r="I225" s="47"/>
    </row>
    <row r="226" spans="1:9" x14ac:dyDescent="0.2">
      <c r="A226" s="4"/>
      <c r="G226" s="26"/>
      <c r="H226" s="10"/>
    </row>
    <row r="227" spans="1:9" x14ac:dyDescent="0.2">
      <c r="A227" s="4"/>
      <c r="G227" s="26"/>
      <c r="H227" s="10"/>
      <c r="I227" s="2"/>
    </row>
    <row r="228" spans="1:9" x14ac:dyDescent="0.2">
      <c r="A228" s="4"/>
      <c r="G228" s="26"/>
      <c r="H228" s="10"/>
      <c r="I228" s="46"/>
    </row>
    <row r="229" spans="1:9" x14ac:dyDescent="0.2">
      <c r="A229" s="4"/>
      <c r="G229" s="26"/>
      <c r="H229" s="10"/>
      <c r="I229" s="46"/>
    </row>
    <row r="230" spans="1:9" x14ac:dyDescent="0.2">
      <c r="A230" s="6"/>
      <c r="B230" s="8"/>
      <c r="C230" s="8"/>
      <c r="E230" s="6"/>
      <c r="F230" s="6"/>
      <c r="G230" s="32"/>
      <c r="H230" s="10"/>
      <c r="I230" s="46"/>
    </row>
    <row r="231" spans="1:9" x14ac:dyDescent="0.2">
      <c r="A231" s="4"/>
      <c r="G231" s="26"/>
      <c r="H231" s="10"/>
      <c r="I231" s="46"/>
    </row>
    <row r="232" spans="1:9" x14ac:dyDescent="0.2">
      <c r="A232" s="4"/>
      <c r="G232" s="26"/>
      <c r="H232" s="10"/>
      <c r="I232" s="46"/>
    </row>
    <row r="233" spans="1:9" x14ac:dyDescent="0.2">
      <c r="A233" s="4"/>
      <c r="G233" s="26"/>
      <c r="H233" s="10"/>
      <c r="I233" s="46"/>
    </row>
    <row r="234" spans="1:9" x14ac:dyDescent="0.2">
      <c r="A234" s="4"/>
      <c r="F234" s="11"/>
      <c r="G234" s="26"/>
      <c r="H234" s="10"/>
      <c r="I234" s="46"/>
    </row>
    <row r="235" spans="1:9" x14ac:dyDescent="0.2">
      <c r="A235" s="4"/>
      <c r="F235" s="11"/>
      <c r="G235" s="26"/>
      <c r="H235" s="10"/>
      <c r="I235" s="46"/>
    </row>
    <row r="236" spans="1:9" x14ac:dyDescent="0.2">
      <c r="A236" s="13"/>
      <c r="B236" s="14"/>
      <c r="C236" s="14"/>
      <c r="E236" s="13"/>
      <c r="F236" s="13"/>
      <c r="G236" s="33"/>
      <c r="H236" s="10"/>
      <c r="I236" s="46"/>
    </row>
    <row r="237" spans="1:9" x14ac:dyDescent="0.2">
      <c r="A237" s="13"/>
      <c r="B237" s="14"/>
      <c r="C237" s="14"/>
      <c r="E237" s="13"/>
      <c r="F237" s="13"/>
      <c r="G237" s="33"/>
      <c r="H237" s="10"/>
      <c r="I237" s="46"/>
    </row>
    <row r="238" spans="1:9" x14ac:dyDescent="0.2">
      <c r="A238" s="13"/>
      <c r="B238" s="14"/>
      <c r="C238" s="14"/>
      <c r="E238" s="13"/>
      <c r="F238" s="13"/>
      <c r="G238" s="33"/>
      <c r="H238" s="10"/>
      <c r="I238" s="46"/>
    </row>
    <row r="239" spans="1:9" x14ac:dyDescent="0.2">
      <c r="A239" s="4"/>
      <c r="B239" s="14"/>
      <c r="F239" s="11"/>
      <c r="G239" s="26"/>
      <c r="H239" s="10"/>
      <c r="I239" s="46"/>
    </row>
    <row r="240" spans="1:9" x14ac:dyDescent="0.2">
      <c r="A240" s="4"/>
      <c r="B240" s="14"/>
      <c r="F240" s="11"/>
      <c r="G240" s="26"/>
      <c r="H240" s="10"/>
      <c r="I240" s="46"/>
    </row>
    <row r="241" spans="1:9" x14ac:dyDescent="0.2">
      <c r="A241" s="2"/>
      <c r="B241" s="8"/>
      <c r="C241" s="8"/>
      <c r="D241" s="6"/>
      <c r="E241" s="6"/>
      <c r="F241" s="6"/>
      <c r="G241" s="32"/>
      <c r="H241" s="9"/>
      <c r="I241" s="46"/>
    </row>
    <row r="242" spans="1:9" x14ac:dyDescent="0.2">
      <c r="A242" s="4"/>
      <c r="G242" s="26"/>
      <c r="H242" s="10"/>
      <c r="I242" s="46"/>
    </row>
    <row r="243" spans="1:9" x14ac:dyDescent="0.2">
      <c r="A243" s="4"/>
      <c r="G243" s="26"/>
      <c r="H243" s="10"/>
      <c r="I243" s="46"/>
    </row>
    <row r="244" spans="1:9" x14ac:dyDescent="0.2">
      <c r="A244" s="4"/>
      <c r="G244" s="26"/>
      <c r="H244" s="10"/>
      <c r="I244" s="46"/>
    </row>
    <row r="245" spans="1:9" x14ac:dyDescent="0.2">
      <c r="A245" s="4"/>
      <c r="G245" s="26"/>
      <c r="H245" s="10"/>
      <c r="I245" s="46"/>
    </row>
    <row r="246" spans="1:9" x14ac:dyDescent="0.2">
      <c r="A246" s="6"/>
      <c r="B246" s="8"/>
      <c r="C246" s="8"/>
      <c r="E246" s="6"/>
      <c r="F246" s="6"/>
      <c r="G246" s="32"/>
      <c r="H246" s="10"/>
      <c r="I246" s="46"/>
    </row>
    <row r="247" spans="1:9" x14ac:dyDescent="0.2">
      <c r="A247" s="4"/>
      <c r="G247" s="26"/>
      <c r="H247" s="10"/>
      <c r="I247" s="46"/>
    </row>
    <row r="248" spans="1:9" x14ac:dyDescent="0.2">
      <c r="A248" s="4"/>
      <c r="B248" s="15"/>
      <c r="C248" s="15"/>
      <c r="G248" s="26"/>
      <c r="H248" s="10"/>
      <c r="I248" s="46"/>
    </row>
    <row r="249" spans="1:9" x14ac:dyDescent="0.2">
      <c r="A249" s="4"/>
      <c r="B249" s="15"/>
      <c r="C249" s="15"/>
      <c r="G249" s="26"/>
      <c r="H249" s="10"/>
      <c r="I249" s="46"/>
    </row>
    <row r="250" spans="1:9" x14ac:dyDescent="0.2">
      <c r="A250" s="4"/>
      <c r="B250" s="15"/>
      <c r="C250" s="15"/>
      <c r="H250" s="10"/>
      <c r="I250" s="46"/>
    </row>
    <row r="251" spans="1:9" x14ac:dyDescent="0.2">
      <c r="A251" s="6"/>
      <c r="B251" s="16"/>
      <c r="C251" s="16"/>
      <c r="E251" s="6"/>
      <c r="F251" s="6"/>
      <c r="G251" s="32"/>
      <c r="H251" s="10"/>
      <c r="I251" s="47"/>
    </row>
    <row r="252" spans="1:9" x14ac:dyDescent="0.2">
      <c r="A252" s="13"/>
      <c r="B252" s="17"/>
      <c r="C252" s="17"/>
      <c r="E252" s="13"/>
      <c r="F252" s="13"/>
      <c r="G252" s="33"/>
      <c r="H252" s="10"/>
      <c r="I252" s="47"/>
    </row>
    <row r="253" spans="1:9" x14ac:dyDescent="0.2">
      <c r="A253" s="13"/>
      <c r="B253" s="14"/>
      <c r="C253" s="17"/>
      <c r="E253" s="13"/>
      <c r="F253" s="13"/>
      <c r="G253" s="33"/>
      <c r="H253" s="10"/>
      <c r="I253" s="47"/>
    </row>
    <row r="254" spans="1:9" x14ac:dyDescent="0.2">
      <c r="A254" s="13"/>
      <c r="B254" s="14"/>
      <c r="C254" s="14"/>
      <c r="E254" s="13"/>
      <c r="F254" s="13"/>
      <c r="G254" s="33"/>
      <c r="H254" s="10"/>
      <c r="I254" s="47"/>
    </row>
    <row r="255" spans="1:9" x14ac:dyDescent="0.2">
      <c r="A255" s="6"/>
      <c r="B255" s="8"/>
      <c r="C255" s="6"/>
      <c r="E255" s="6"/>
      <c r="F255" s="6"/>
      <c r="G255" s="32"/>
      <c r="H255" s="10"/>
      <c r="I255" s="47"/>
    </row>
    <row r="256" spans="1:9" x14ac:dyDescent="0.2">
      <c r="A256" s="6"/>
      <c r="B256" s="8"/>
      <c r="C256" s="6"/>
      <c r="E256" s="6"/>
      <c r="F256" s="6"/>
      <c r="G256" s="32"/>
      <c r="H256" s="10"/>
      <c r="I256" s="47"/>
    </row>
    <row r="257" spans="1:9" x14ac:dyDescent="0.2">
      <c r="A257" s="12"/>
      <c r="B257" s="8"/>
      <c r="C257" s="8"/>
      <c r="D257" s="6"/>
      <c r="E257" s="6"/>
      <c r="F257" s="6"/>
      <c r="G257" s="32"/>
      <c r="H257" s="9"/>
      <c r="I257" s="47"/>
    </row>
    <row r="258" spans="1:9" x14ac:dyDescent="0.2">
      <c r="A258" s="4"/>
      <c r="G258" s="26"/>
      <c r="H258" s="10"/>
      <c r="I258" s="47"/>
    </row>
    <row r="259" spans="1:9" x14ac:dyDescent="0.2">
      <c r="A259" s="4"/>
      <c r="G259" s="26"/>
      <c r="H259" s="10"/>
    </row>
    <row r="260" spans="1:9" x14ac:dyDescent="0.2">
      <c r="A260" s="4"/>
      <c r="G260" s="26"/>
      <c r="H260" s="10"/>
      <c r="I260" s="2"/>
    </row>
    <row r="261" spans="1:9" x14ac:dyDescent="0.2">
      <c r="A261" s="4"/>
      <c r="G261" s="26"/>
      <c r="H261" s="10"/>
      <c r="I261" s="2"/>
    </row>
    <row r="262" spans="1:9" x14ac:dyDescent="0.2">
      <c r="A262" s="6"/>
      <c r="B262" s="8"/>
      <c r="C262" s="8"/>
      <c r="E262" s="6"/>
      <c r="F262" s="6"/>
      <c r="G262" s="32"/>
      <c r="H262" s="10"/>
      <c r="I262" s="2"/>
    </row>
    <row r="263" spans="1:9" x14ac:dyDescent="0.2">
      <c r="A263" s="4"/>
      <c r="G263" s="26"/>
      <c r="H263" s="10"/>
      <c r="I263" s="46"/>
    </row>
    <row r="264" spans="1:9" x14ac:dyDescent="0.2">
      <c r="A264" s="4"/>
      <c r="G264" s="26"/>
      <c r="H264" s="10"/>
      <c r="I264" s="46"/>
    </row>
    <row r="265" spans="1:9" x14ac:dyDescent="0.2">
      <c r="A265" s="4"/>
      <c r="G265" s="26"/>
      <c r="H265" s="10"/>
      <c r="I265" s="46"/>
    </row>
    <row r="266" spans="1:9" x14ac:dyDescent="0.2">
      <c r="A266" s="4"/>
      <c r="G266" s="26"/>
      <c r="H266" s="10"/>
      <c r="I266" s="46"/>
    </row>
    <row r="267" spans="1:9" x14ac:dyDescent="0.2">
      <c r="A267" s="4"/>
      <c r="G267" s="26"/>
      <c r="H267" s="10"/>
      <c r="I267" s="46"/>
    </row>
    <row r="268" spans="1:9" x14ac:dyDescent="0.2">
      <c r="A268" s="13"/>
      <c r="B268" s="14"/>
      <c r="C268" s="14"/>
      <c r="E268" s="13"/>
      <c r="F268" s="13"/>
      <c r="G268" s="33"/>
      <c r="H268" s="10"/>
      <c r="I268" s="46"/>
    </row>
    <row r="269" spans="1:9" x14ac:dyDescent="0.2">
      <c r="A269" s="13"/>
      <c r="B269" s="14"/>
      <c r="C269" s="14"/>
      <c r="E269" s="13"/>
      <c r="F269" s="13"/>
      <c r="G269" s="33"/>
      <c r="H269" s="10"/>
      <c r="I269" s="46"/>
    </row>
    <row r="270" spans="1:9" x14ac:dyDescent="0.2">
      <c r="A270" s="13"/>
      <c r="B270" s="14"/>
      <c r="C270" s="14"/>
      <c r="E270" s="13"/>
      <c r="F270" s="13"/>
      <c r="G270" s="33"/>
      <c r="H270" s="10"/>
      <c r="I270" s="46"/>
    </row>
    <row r="271" spans="1:9" x14ac:dyDescent="0.2">
      <c r="A271" s="6"/>
      <c r="B271" s="8"/>
      <c r="C271" s="8"/>
      <c r="G271" s="26"/>
      <c r="H271" s="10"/>
      <c r="I271" s="46"/>
    </row>
    <row r="272" spans="1:9" x14ac:dyDescent="0.2">
      <c r="A272" s="4"/>
      <c r="B272" s="14"/>
      <c r="G272" s="26"/>
      <c r="H272" s="10"/>
      <c r="I272" s="46"/>
    </row>
    <row r="273" spans="1:9" x14ac:dyDescent="0.2">
      <c r="A273" s="12"/>
      <c r="B273" s="8"/>
      <c r="C273" s="8"/>
      <c r="D273" s="6"/>
      <c r="E273" s="6"/>
      <c r="F273" s="6"/>
      <c r="G273" s="32"/>
      <c r="H273" s="9"/>
      <c r="I273" s="46"/>
    </row>
    <row r="274" spans="1:9" x14ac:dyDescent="0.2">
      <c r="A274" s="4"/>
      <c r="G274" s="26"/>
      <c r="H274" s="10"/>
      <c r="I274" s="46"/>
    </row>
    <row r="275" spans="1:9" x14ac:dyDescent="0.2">
      <c r="A275" s="4"/>
      <c r="G275" s="26"/>
      <c r="H275" s="10"/>
      <c r="I275" s="46"/>
    </row>
    <row r="276" spans="1:9" x14ac:dyDescent="0.2">
      <c r="A276" s="4"/>
      <c r="G276" s="26"/>
      <c r="H276" s="10"/>
      <c r="I276" s="46"/>
    </row>
    <row r="277" spans="1:9" x14ac:dyDescent="0.2">
      <c r="A277" s="4"/>
      <c r="G277" s="26"/>
      <c r="H277" s="10"/>
      <c r="I277" s="46"/>
    </row>
    <row r="278" spans="1:9" x14ac:dyDescent="0.2">
      <c r="A278" s="6"/>
      <c r="B278" s="8"/>
      <c r="C278" s="8"/>
      <c r="E278" s="6"/>
      <c r="F278" s="6"/>
      <c r="G278" s="32"/>
      <c r="H278" s="10"/>
      <c r="I278" s="46"/>
    </row>
    <row r="279" spans="1:9" x14ac:dyDescent="0.2">
      <c r="A279" s="4"/>
      <c r="G279" s="26"/>
      <c r="H279" s="10"/>
      <c r="I279" s="46"/>
    </row>
    <row r="280" spans="1:9" x14ac:dyDescent="0.2">
      <c r="A280" s="4"/>
      <c r="G280" s="26"/>
      <c r="H280" s="10"/>
      <c r="I280" s="46"/>
    </row>
    <row r="281" spans="1:9" x14ac:dyDescent="0.2">
      <c r="A281" s="4"/>
      <c r="G281" s="26"/>
      <c r="H281" s="10"/>
      <c r="I281" s="46"/>
    </row>
    <row r="282" spans="1:9" x14ac:dyDescent="0.2">
      <c r="A282" s="4"/>
      <c r="G282" s="26"/>
      <c r="H282" s="10"/>
      <c r="I282" s="46"/>
    </row>
    <row r="283" spans="1:9" x14ac:dyDescent="0.2">
      <c r="A283" s="4"/>
      <c r="G283" s="26"/>
      <c r="H283" s="10"/>
      <c r="I283" s="46"/>
    </row>
    <row r="284" spans="1:9" x14ac:dyDescent="0.2">
      <c r="A284" s="13"/>
      <c r="B284" s="14"/>
      <c r="C284" s="14"/>
      <c r="E284" s="13"/>
      <c r="F284" s="13"/>
      <c r="G284" s="33"/>
      <c r="H284" s="10"/>
      <c r="I284" s="46"/>
    </row>
    <row r="285" spans="1:9" x14ac:dyDescent="0.2">
      <c r="A285" s="13"/>
      <c r="B285" s="14"/>
      <c r="C285" s="14"/>
      <c r="E285" s="13"/>
      <c r="F285" s="13"/>
      <c r="G285" s="33"/>
      <c r="H285" s="10"/>
      <c r="I285" s="46"/>
    </row>
    <row r="286" spans="1:9" x14ac:dyDescent="0.2">
      <c r="A286" s="13"/>
      <c r="B286" s="14"/>
      <c r="C286" s="14"/>
      <c r="E286" s="13"/>
      <c r="F286" s="13"/>
      <c r="G286" s="33"/>
      <c r="H286" s="10"/>
      <c r="I286" s="46"/>
    </row>
    <row r="287" spans="1:9" x14ac:dyDescent="0.2">
      <c r="A287" s="4"/>
      <c r="B287" s="14"/>
      <c r="G287" s="26"/>
      <c r="H287" s="10"/>
      <c r="I287" s="46"/>
    </row>
    <row r="288" spans="1:9" x14ac:dyDescent="0.2">
      <c r="A288" s="4"/>
      <c r="B288" s="14"/>
      <c r="G288" s="26"/>
      <c r="H288" s="10"/>
      <c r="I288" s="46"/>
    </row>
    <row r="289" spans="1:9" x14ac:dyDescent="0.2">
      <c r="A289" s="12"/>
      <c r="B289" s="39"/>
      <c r="C289" s="39"/>
      <c r="D289" s="6"/>
      <c r="E289" s="6"/>
      <c r="F289" s="6"/>
      <c r="G289" s="32"/>
      <c r="H289" s="9"/>
      <c r="I289" s="46"/>
    </row>
    <row r="290" spans="1:9" x14ac:dyDescent="0.2">
      <c r="A290" s="4"/>
      <c r="G290" s="26"/>
      <c r="H290" s="10"/>
      <c r="I290" s="46"/>
    </row>
    <row r="291" spans="1:9" x14ac:dyDescent="0.2">
      <c r="A291" s="4"/>
      <c r="G291" s="26"/>
      <c r="H291" s="10"/>
      <c r="I291" s="46"/>
    </row>
    <row r="292" spans="1:9" x14ac:dyDescent="0.2">
      <c r="A292" s="4"/>
      <c r="G292" s="26"/>
      <c r="H292" s="10"/>
      <c r="I292" s="46"/>
    </row>
    <row r="293" spans="1:9" x14ac:dyDescent="0.2">
      <c r="A293" s="4"/>
      <c r="G293" s="26"/>
      <c r="H293" s="10"/>
      <c r="I293" s="47"/>
    </row>
    <row r="294" spans="1:9" x14ac:dyDescent="0.2">
      <c r="A294" s="6"/>
      <c r="B294" s="8"/>
      <c r="C294" s="8"/>
      <c r="E294" s="6"/>
      <c r="F294" s="6"/>
      <c r="G294" s="32"/>
      <c r="H294" s="10"/>
      <c r="I294" s="47"/>
    </row>
    <row r="295" spans="1:9" x14ac:dyDescent="0.2">
      <c r="A295" s="4"/>
      <c r="G295" s="26"/>
      <c r="H295" s="10"/>
      <c r="I295" s="47"/>
    </row>
    <row r="296" spans="1:9" x14ac:dyDescent="0.2">
      <c r="A296" s="4"/>
      <c r="G296" s="26"/>
      <c r="H296" s="10"/>
    </row>
    <row r="297" spans="1:9" x14ac:dyDescent="0.2">
      <c r="A297" s="4"/>
      <c r="G297" s="26"/>
      <c r="H297" s="10"/>
      <c r="I297" s="2"/>
    </row>
    <row r="298" spans="1:9" x14ac:dyDescent="0.2">
      <c r="A298" s="4"/>
      <c r="G298" s="26"/>
      <c r="H298" s="10"/>
      <c r="I298" s="47"/>
    </row>
    <row r="299" spans="1:9" x14ac:dyDescent="0.2">
      <c r="A299" s="4"/>
      <c r="G299" s="26"/>
      <c r="H299" s="10"/>
      <c r="I299" s="47"/>
    </row>
    <row r="300" spans="1:9" x14ac:dyDescent="0.2">
      <c r="A300" s="13"/>
      <c r="B300" s="14"/>
      <c r="C300" s="14"/>
      <c r="E300" s="13"/>
      <c r="F300" s="13"/>
      <c r="G300" s="33"/>
      <c r="H300" s="10"/>
      <c r="I300" s="47"/>
    </row>
    <row r="301" spans="1:9" x14ac:dyDescent="0.2">
      <c r="A301" s="13"/>
      <c r="B301" s="14"/>
      <c r="C301" s="14"/>
      <c r="E301" s="13"/>
      <c r="F301" s="13"/>
      <c r="G301" s="33"/>
      <c r="H301" s="10"/>
      <c r="I301" s="47"/>
    </row>
    <row r="302" spans="1:9" x14ac:dyDescent="0.2">
      <c r="A302" s="13"/>
      <c r="B302" s="14"/>
      <c r="C302" s="14"/>
      <c r="E302" s="13"/>
      <c r="F302" s="13"/>
      <c r="G302" s="33"/>
      <c r="H302" s="10"/>
      <c r="I302" s="47"/>
    </row>
    <row r="303" spans="1:9" x14ac:dyDescent="0.2">
      <c r="A303" s="4"/>
      <c r="B303" s="14"/>
      <c r="G303" s="26"/>
      <c r="H303" s="10"/>
      <c r="I303" s="47"/>
    </row>
    <row r="304" spans="1:9" x14ac:dyDescent="0.2">
      <c r="A304" s="4"/>
      <c r="B304" s="14"/>
      <c r="G304" s="26"/>
      <c r="H304" s="10"/>
      <c r="I304" s="47"/>
    </row>
    <row r="305" spans="1:9" x14ac:dyDescent="0.2">
      <c r="A305" s="12"/>
      <c r="B305" s="39"/>
      <c r="C305" s="39"/>
      <c r="D305" s="6"/>
      <c r="E305" s="6"/>
      <c r="F305" s="6"/>
      <c r="G305" s="32"/>
      <c r="H305" s="9"/>
      <c r="I305" s="47"/>
    </row>
    <row r="306" spans="1:9" x14ac:dyDescent="0.2">
      <c r="A306" s="4"/>
      <c r="G306" s="26"/>
      <c r="H306" s="10"/>
      <c r="I306" s="47"/>
    </row>
    <row r="307" spans="1:9" x14ac:dyDescent="0.2">
      <c r="A307" s="4"/>
      <c r="G307" s="26"/>
      <c r="H307" s="10"/>
      <c r="I307" s="47"/>
    </row>
    <row r="308" spans="1:9" x14ac:dyDescent="0.2">
      <c r="A308" s="4"/>
      <c r="G308" s="26"/>
      <c r="H308" s="10"/>
      <c r="I308" s="47"/>
    </row>
    <row r="309" spans="1:9" x14ac:dyDescent="0.2">
      <c r="A309" s="4"/>
      <c r="F309" s="1"/>
      <c r="G309" s="34"/>
      <c r="H309" s="10"/>
      <c r="I309" s="47"/>
    </row>
    <row r="310" spans="1:9" x14ac:dyDescent="0.2">
      <c r="A310" s="6"/>
      <c r="B310" s="8"/>
      <c r="C310" s="8"/>
      <c r="F310" s="6"/>
      <c r="G310" s="32"/>
      <c r="H310" s="10"/>
      <c r="I310" s="47"/>
    </row>
    <row r="311" spans="1:9" x14ac:dyDescent="0.2">
      <c r="A311" s="4"/>
      <c r="F311" s="1"/>
      <c r="G311" s="34"/>
      <c r="H311" s="10"/>
      <c r="I311" s="47"/>
    </row>
    <row r="312" spans="1:9" x14ac:dyDescent="0.2">
      <c r="A312" s="4"/>
      <c r="F312" s="1"/>
      <c r="G312" s="34"/>
      <c r="H312" s="10"/>
      <c r="I312" s="47"/>
    </row>
    <row r="313" spans="1:9" x14ac:dyDescent="0.2">
      <c r="A313" s="4"/>
      <c r="F313" s="1"/>
      <c r="G313" s="34"/>
      <c r="H313" s="10"/>
      <c r="I313" s="47"/>
    </row>
    <row r="314" spans="1:9" x14ac:dyDescent="0.2">
      <c r="A314" s="4"/>
      <c r="F314" s="1"/>
      <c r="G314" s="34"/>
      <c r="H314" s="10"/>
      <c r="I314" s="47"/>
    </row>
    <row r="315" spans="1:9" x14ac:dyDescent="0.2">
      <c r="A315" s="4"/>
      <c r="F315" s="1"/>
      <c r="G315" s="34"/>
      <c r="H315" s="10"/>
      <c r="I315" s="47"/>
    </row>
    <row r="316" spans="1:9" x14ac:dyDescent="0.2">
      <c r="A316" s="13"/>
      <c r="B316" s="14"/>
      <c r="C316" s="14"/>
      <c r="E316" s="13"/>
      <c r="F316" s="18"/>
      <c r="G316" s="35"/>
      <c r="H316" s="10"/>
      <c r="I316" s="47"/>
    </row>
    <row r="317" spans="1:9" x14ac:dyDescent="0.2">
      <c r="A317" s="13"/>
      <c r="B317" s="14"/>
      <c r="C317" s="14"/>
      <c r="E317" s="13"/>
      <c r="F317" s="18"/>
      <c r="G317" s="35"/>
      <c r="H317" s="10"/>
      <c r="I317" s="47"/>
    </row>
    <row r="318" spans="1:9" x14ac:dyDescent="0.2">
      <c r="A318" s="13"/>
      <c r="B318" s="14"/>
      <c r="C318" s="14"/>
      <c r="E318" s="13"/>
      <c r="F318" s="18"/>
      <c r="G318" s="35"/>
      <c r="H318" s="10"/>
      <c r="I318" s="47"/>
    </row>
    <row r="319" spans="1:9" x14ac:dyDescent="0.2">
      <c r="A319" s="4"/>
      <c r="B319" s="14"/>
      <c r="E319" s="13"/>
      <c r="F319" s="1"/>
      <c r="G319" s="34"/>
      <c r="H319" s="3"/>
      <c r="I319" s="47"/>
    </row>
    <row r="320" spans="1:9" x14ac:dyDescent="0.2">
      <c r="A320" s="4"/>
      <c r="B320" s="14"/>
      <c r="E320" s="13"/>
      <c r="F320" s="1"/>
      <c r="G320" s="34"/>
      <c r="H320" s="3"/>
      <c r="I320" s="47"/>
    </row>
    <row r="321" spans="1:9" x14ac:dyDescent="0.2">
      <c r="A321" s="4"/>
      <c r="H321" s="3"/>
      <c r="I321" s="47"/>
    </row>
  </sheetData>
  <mergeCells count="17">
    <mergeCell ref="B1:C1"/>
    <mergeCell ref="B8:C8"/>
    <mergeCell ref="B15:C15"/>
    <mergeCell ref="B22:C22"/>
    <mergeCell ref="B29:C29"/>
    <mergeCell ref="B289:C289"/>
    <mergeCell ref="B305:C305"/>
    <mergeCell ref="B85:C85"/>
    <mergeCell ref="B36:C36"/>
    <mergeCell ref="B44:C44"/>
    <mergeCell ref="B52:C52"/>
    <mergeCell ref="B60:C60"/>
    <mergeCell ref="B68:C68"/>
    <mergeCell ref="B76:C76"/>
    <mergeCell ref="B94:C94"/>
    <mergeCell ref="B103:C103"/>
    <mergeCell ref="B112:C1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organs post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2023-04-14T17:42:45Z</dcterms:modified>
</cp:coreProperties>
</file>