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3/Mouse GI carriage/"/>
    </mc:Choice>
  </mc:AlternateContent>
  <xr:revisionPtr revIDLastSave="0" documentId="13_ncr:1_{040CE2E6-CE1A-B740-8B67-EF290CF729CB}" xr6:coauthVersionLast="47" xr6:coauthVersionMax="47" xr10:uidLastSave="{00000000-0000-0000-0000-000000000000}"/>
  <bookViews>
    <workbookView xWindow="0" yWindow="760" windowWidth="30240" windowHeight="1888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69" i="5" l="1"/>
  <c r="M69" i="5"/>
  <c r="M68" i="5"/>
  <c r="N68" i="5" s="1"/>
  <c r="M67" i="5"/>
  <c r="N67" i="5" s="1"/>
  <c r="M66" i="5"/>
  <c r="N66" i="5" s="1"/>
  <c r="N62" i="5"/>
  <c r="M62" i="5"/>
  <c r="M61" i="5"/>
  <c r="N61" i="5" s="1"/>
  <c r="M60" i="5"/>
  <c r="N60" i="5" s="1"/>
  <c r="M59" i="5"/>
  <c r="N59" i="5" s="1"/>
  <c r="M55" i="5"/>
  <c r="N55" i="5" s="1"/>
  <c r="N54" i="5"/>
  <c r="M54" i="5"/>
  <c r="N53" i="5"/>
  <c r="M53" i="5"/>
  <c r="M52" i="5"/>
  <c r="N52" i="5" s="1"/>
  <c r="M48" i="5"/>
  <c r="N48" i="5" s="1"/>
  <c r="M47" i="5"/>
  <c r="N47" i="5" s="1"/>
  <c r="M46" i="5"/>
  <c r="N46" i="5" s="1"/>
  <c r="M45" i="5"/>
  <c r="N45" i="5" s="1"/>
  <c r="M41" i="5"/>
  <c r="N41" i="5"/>
  <c r="M39" i="5"/>
  <c r="N39" i="5"/>
  <c r="M40" i="5"/>
  <c r="N40" i="5"/>
  <c r="N38" i="5"/>
  <c r="M38" i="5"/>
  <c r="J38" i="5"/>
  <c r="P17" i="4"/>
  <c r="O17" i="4"/>
  <c r="F69" i="5"/>
  <c r="F62" i="5"/>
  <c r="F55" i="5"/>
  <c r="F48" i="5"/>
  <c r="F41" i="5"/>
  <c r="I68" i="5" l="1"/>
  <c r="F68" i="5"/>
  <c r="F61" i="5"/>
  <c r="F54" i="5"/>
  <c r="F47" i="5"/>
  <c r="F40" i="5"/>
  <c r="I33" i="5"/>
  <c r="F33" i="5"/>
  <c r="I26" i="5"/>
  <c r="I19" i="5"/>
  <c r="F19" i="5"/>
  <c r="I12" i="5"/>
  <c r="F12" i="5"/>
  <c r="I5" i="5"/>
  <c r="F5" i="5"/>
  <c r="F67" i="5"/>
  <c r="F60" i="5"/>
  <c r="F53" i="5"/>
  <c r="F46" i="5"/>
  <c r="F39" i="5"/>
  <c r="F66" i="5"/>
  <c r="F65" i="5"/>
  <c r="F59" i="5"/>
  <c r="F58" i="5"/>
  <c r="F52" i="5"/>
  <c r="F51" i="5"/>
  <c r="F45" i="5"/>
  <c r="D45" i="5"/>
  <c r="F44" i="5"/>
  <c r="F38" i="5"/>
  <c r="F37" i="5"/>
  <c r="F32" i="5"/>
  <c r="F25" i="5"/>
  <c r="F4" i="5"/>
  <c r="F18" i="5"/>
  <c r="F11" i="5"/>
  <c r="F30" i="5"/>
  <c r="F23" i="5"/>
  <c r="F16" i="5"/>
  <c r="F9" i="5"/>
  <c r="F2" i="5"/>
  <c r="I69" i="5"/>
  <c r="D69" i="5"/>
  <c r="D68" i="5"/>
  <c r="G68" i="5" s="1"/>
  <c r="D67" i="5"/>
  <c r="G67" i="5" s="1"/>
  <c r="D66" i="5"/>
  <c r="J65" i="5"/>
  <c r="G65" i="5"/>
  <c r="D65" i="5"/>
  <c r="I62" i="5"/>
  <c r="D62" i="5"/>
  <c r="I61" i="5"/>
  <c r="D61" i="5"/>
  <c r="G61" i="5" s="1"/>
  <c r="D60" i="5"/>
  <c r="G60" i="5" s="1"/>
  <c r="D59" i="5"/>
  <c r="J59" i="5" s="1"/>
  <c r="D58" i="5"/>
  <c r="G58" i="5" s="1"/>
  <c r="I55" i="5"/>
  <c r="D55" i="5"/>
  <c r="I54" i="5"/>
  <c r="D54" i="5"/>
  <c r="G54" i="5" s="1"/>
  <c r="D53" i="5"/>
  <c r="G53" i="5" s="1"/>
  <c r="D52" i="5"/>
  <c r="D51" i="5"/>
  <c r="G51" i="5" s="1"/>
  <c r="I48" i="5"/>
  <c r="D48" i="5"/>
  <c r="I47" i="5"/>
  <c r="D47" i="5"/>
  <c r="G47" i="5" s="1"/>
  <c r="D46" i="5"/>
  <c r="G46" i="5" s="1"/>
  <c r="J45" i="5"/>
  <c r="D44" i="5"/>
  <c r="G44" i="5" s="1"/>
  <c r="I41" i="5"/>
  <c r="D41" i="5"/>
  <c r="G41" i="5" s="1"/>
  <c r="I40" i="5"/>
  <c r="D40" i="5"/>
  <c r="J40" i="5" s="1"/>
  <c r="D39" i="5"/>
  <c r="G39" i="5" s="1"/>
  <c r="D38" i="5"/>
  <c r="D37" i="5"/>
  <c r="J37" i="5" s="1"/>
  <c r="D34" i="5"/>
  <c r="J34" i="5" s="1"/>
  <c r="D33" i="5"/>
  <c r="G33" i="5" s="1"/>
  <c r="I32" i="5"/>
  <c r="D32" i="5"/>
  <c r="D31" i="5"/>
  <c r="J31" i="5" s="1"/>
  <c r="D30" i="5"/>
  <c r="G30" i="5" s="1"/>
  <c r="D27" i="5"/>
  <c r="J27" i="5" s="1"/>
  <c r="D26" i="5"/>
  <c r="G26" i="5" s="1"/>
  <c r="I25" i="5"/>
  <c r="D25" i="5"/>
  <c r="D24" i="5"/>
  <c r="J24" i="5" s="1"/>
  <c r="D23" i="5"/>
  <c r="G23" i="5" s="1"/>
  <c r="D20" i="5"/>
  <c r="J20" i="5" s="1"/>
  <c r="D19" i="5"/>
  <c r="G19" i="5" s="1"/>
  <c r="I18" i="5"/>
  <c r="D18" i="5"/>
  <c r="G18" i="5" s="1"/>
  <c r="D17" i="5"/>
  <c r="J17" i="5" s="1"/>
  <c r="D16" i="5"/>
  <c r="J16" i="5" s="1"/>
  <c r="D13" i="5"/>
  <c r="J13" i="5" s="1"/>
  <c r="D12" i="5"/>
  <c r="G12" i="5" s="1"/>
  <c r="I11" i="5"/>
  <c r="D11" i="5"/>
  <c r="G11" i="5" s="1"/>
  <c r="D10" i="5"/>
  <c r="J10" i="5" s="1"/>
  <c r="D9" i="5"/>
  <c r="G9" i="5" s="1"/>
  <c r="J3" i="5"/>
  <c r="J6" i="5"/>
  <c r="I4" i="5"/>
  <c r="J18" i="4"/>
  <c r="L18" i="4" s="1"/>
  <c r="J19" i="4"/>
  <c r="L19" i="4" s="1"/>
  <c r="J17" i="4"/>
  <c r="L17" i="4" s="1"/>
  <c r="M17" i="4" s="1"/>
  <c r="N17" i="4" s="1"/>
  <c r="L12" i="4"/>
  <c r="L13" i="4"/>
  <c r="L14" i="4"/>
  <c r="L15" i="4"/>
  <c r="L16" i="4"/>
  <c r="J9" i="4"/>
  <c r="L9" i="4" s="1"/>
  <c r="J10" i="4"/>
  <c r="L10" i="4" s="1"/>
  <c r="J8" i="4"/>
  <c r="L8" i="4" s="1"/>
  <c r="L5" i="4"/>
  <c r="L6" i="4"/>
  <c r="L3" i="4"/>
  <c r="L4" i="4"/>
  <c r="J69" i="5" l="1"/>
  <c r="J62" i="5"/>
  <c r="J55" i="5"/>
  <c r="J48" i="5"/>
  <c r="J41" i="5"/>
  <c r="J68" i="5"/>
  <c r="J61" i="5"/>
  <c r="J54" i="5"/>
  <c r="J47" i="5"/>
  <c r="G40" i="5"/>
  <c r="J33" i="5"/>
  <c r="J26" i="5"/>
  <c r="J19" i="5"/>
  <c r="J12" i="5"/>
  <c r="J32" i="5"/>
  <c r="J60" i="5"/>
  <c r="J39" i="5"/>
  <c r="J66" i="5"/>
  <c r="J58" i="5"/>
  <c r="J52" i="5"/>
  <c r="J51" i="5"/>
  <c r="G45" i="5"/>
  <c r="J44" i="5"/>
  <c r="J25" i="5"/>
  <c r="G25" i="5"/>
  <c r="J11" i="5"/>
  <c r="J18" i="5"/>
  <c r="J30" i="5"/>
  <c r="J23" i="5"/>
  <c r="G16" i="5"/>
  <c r="J9" i="5"/>
  <c r="J67" i="5"/>
  <c r="G69" i="5"/>
  <c r="G66" i="5"/>
  <c r="G62" i="5"/>
  <c r="G59" i="5"/>
  <c r="J53" i="5"/>
  <c r="G55" i="5"/>
  <c r="G52" i="5"/>
  <c r="J46" i="5"/>
  <c r="G48" i="5"/>
  <c r="G38" i="5"/>
  <c r="G37" i="5"/>
  <c r="G34" i="5"/>
  <c r="G32" i="5"/>
  <c r="G31" i="5"/>
  <c r="G27" i="5"/>
  <c r="G24" i="5"/>
  <c r="G20" i="5"/>
  <c r="G17" i="5"/>
  <c r="G13" i="5"/>
  <c r="G10" i="5"/>
  <c r="M8" i="4"/>
  <c r="N8" i="4" s="1"/>
  <c r="L11" i="4" l="1"/>
  <c r="M14" i="4" l="1"/>
  <c r="M11" i="4"/>
  <c r="N11" i="4" s="1"/>
  <c r="N14" i="4" l="1"/>
  <c r="L7" i="4"/>
  <c r="M5" i="4" s="1"/>
  <c r="L2" i="4"/>
  <c r="M2" i="4" s="1"/>
  <c r="N2" i="4" s="1"/>
  <c r="D6" i="5"/>
  <c r="D5" i="5"/>
  <c r="J5" i="5" s="1"/>
  <c r="D4" i="5"/>
  <c r="D3" i="5"/>
  <c r="G3" i="5" s="1"/>
  <c r="D2" i="5"/>
  <c r="J2" i="5" s="1"/>
  <c r="K41" i="5" l="1"/>
  <c r="K45" i="5"/>
  <c r="K55" i="5"/>
  <c r="K48" i="5"/>
  <c r="K62" i="5"/>
  <c r="K37" i="5"/>
  <c r="K65" i="5"/>
  <c r="K59" i="5"/>
  <c r="K40" i="5"/>
  <c r="K69" i="5"/>
  <c r="K66" i="5"/>
  <c r="K38" i="5"/>
  <c r="K68" i="5"/>
  <c r="K67" i="5"/>
  <c r="K60" i="5"/>
  <c r="K39" i="5"/>
  <c r="K54" i="5"/>
  <c r="K51" i="5"/>
  <c r="K44" i="5"/>
  <c r="K53" i="5"/>
  <c r="K46" i="5"/>
  <c r="K61" i="5"/>
  <c r="K52" i="5"/>
  <c r="K47" i="5"/>
  <c r="K58" i="5"/>
  <c r="O8" i="4"/>
  <c r="K2" i="5"/>
  <c r="G4" i="5"/>
  <c r="J4" i="5"/>
  <c r="K4" i="5" s="1"/>
  <c r="N5" i="4"/>
  <c r="G6" i="5"/>
  <c r="G5" i="5"/>
  <c r="G2" i="5"/>
  <c r="K6" i="5" l="1"/>
  <c r="K10" i="5"/>
  <c r="K13" i="5"/>
  <c r="K3" i="5"/>
  <c r="K27" i="5"/>
  <c r="K24" i="5"/>
  <c r="K16" i="5"/>
  <c r="K11" i="5"/>
  <c r="K20" i="5"/>
  <c r="K17" i="5"/>
  <c r="K34" i="5"/>
  <c r="K31" i="5"/>
  <c r="K33" i="5"/>
  <c r="K30" i="5"/>
  <c r="K9" i="5"/>
  <c r="K19" i="5"/>
  <c r="K32" i="5"/>
  <c r="K18" i="5"/>
  <c r="K25" i="5"/>
  <c r="K23" i="5"/>
  <c r="K26" i="5"/>
  <c r="K12" i="5"/>
  <c r="K5" i="5"/>
</calcChain>
</file>

<file path=xl/sharedStrings.xml><?xml version="1.0" encoding="utf-8"?>
<sst xmlns="http://schemas.openxmlformats.org/spreadsheetml/2006/main" count="178" uniqueCount="41">
  <si>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</si>
  <si>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</si>
  <si>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</si>
  <si>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</si>
  <si>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</si>
  <si>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</si>
  <si>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</si>
  <si>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</si>
  <si>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</si>
  <si>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</si>
  <si>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</si>
  <si>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</si>
  <si>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</si>
  <si>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</si>
  <si>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</si>
  <si>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BL004 vs BL012 LacZ</t>
  </si>
  <si>
    <t>BL004 - VBMXgal80 plates (white)</t>
  </si>
  <si>
    <t>BL012LacZ - VBMXgal80 plates (blue)</t>
  </si>
  <si>
    <t>BL048 - VBMXgal80 plates (white)</t>
  </si>
  <si>
    <t>TOTAL</t>
  </si>
  <si>
    <t>BL048 vs BL012 LacZ</t>
  </si>
  <si>
    <t>Ratio input (LacZ/WT)</t>
  </si>
  <si>
    <t>BL004:BL012 LacZ mouse 1 input ratio: 6.8</t>
  </si>
  <si>
    <t>number of blue CFU (BL012 LacZ)</t>
  </si>
  <si>
    <t>number of white CFU (BL004) in 100µL</t>
  </si>
  <si>
    <t>Estimate in 10µL</t>
  </si>
  <si>
    <t>Output LacZ/WT</t>
  </si>
  <si>
    <t>Compet index</t>
  </si>
  <si>
    <t>BL048:BL012 LacZ mouse 1 input ratio: 2.9</t>
  </si>
  <si>
    <t>number of white CFU (BL048) in 100µL</t>
  </si>
  <si>
    <t>BL004:BL012 LacZ mouse 2 input ratio: 6.8</t>
  </si>
  <si>
    <t>BL004:BL012 LacZ mouse 3 input ratio: 6.8</t>
  </si>
  <si>
    <t>BL004:BL012 LacZ mouse 4 input ratio: 6.8</t>
  </si>
  <si>
    <t>BL004:BL012 LacZ mouse 5 input ratio: 6.8</t>
  </si>
  <si>
    <t>BL048:BL012 LacZ mouse 2 input ratio: 2.9</t>
  </si>
  <si>
    <t>BL048:BL012 LacZ mouse 3 input ratio: 2.9</t>
  </si>
  <si>
    <t>BL048:BL012 LacZ mouse 4 input ratio: 2.9</t>
  </si>
  <si>
    <t>BL048:BL012 LacZ mouse 5 input ratio: 2.9</t>
  </si>
  <si>
    <t>WT/LacZ</t>
  </si>
  <si>
    <t>Output WT/LacZ</t>
  </si>
  <si>
    <t>Compet index WT/LacZ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</si>
</sst>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0" fontId="5" fillId="5" borderId="0" xfId="0" applyFont="1" applyFill="1" applyAlignment="1">
      <alignment horizontal="center"/>
    </xf>
    <xf numFmtId="0" fontId="5" fillId="5" borderId="0" xfId="0" applyFont="1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11" fontId="0" fillId="0" borderId="7" xfId="0" applyNumberFormat="1" applyBorder="1" applyAlignment="1">
      <alignment horizontal="center" vertical="center"/>
    </xf>
    <xf numFmtId="11" fontId="0" fillId="0" borderId="13" xfId="0" applyNumberFormat="1" applyBorder="1" applyAlignment="1">
      <alignment horizontal="center" vertical="center"/>
    </xf>
    <xf numFmtId="11" fontId="0" fillId="0" borderId="18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19" xfId="0" applyNumberFormat="1" applyBorder="1" applyAlignment="1">
      <alignment horizontal="center" vertical="center"/>
    </xf>
    <xf numFmtId="0" fontId="0" fillId="0" borderId="4" xfId="0" applyBorder="1"/>
    <xf numFmtId="11" fontId="0" fillId="0" borderId="3" xfId="0" applyNumberFormat="1" applyBorder="1" applyAlignment="1">
      <alignment horizontal="center"/>
    </xf>
    <xf numFmtId="11" fontId="0" fillId="0" borderId="4" xfId="0" applyNumberForma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5" borderId="0" xfId="0" applyNumberFormat="1" applyFill="1"/>
    <xf numFmtId="2" fontId="0" fillId="0" borderId="0" xfId="0" applyNumberFormat="1" applyAlignment="1">
      <alignment horizontal="center" vertical="center" wrapText="1"/>
    </xf>
    <xf numFmtId="2" fontId="0" fillId="5" borderId="0" xfId="0" applyNumberFormat="1" applyFill="1"/>
    <xf numFmtId="0" fontId="0" fillId="0" borderId="1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165" fontId="0" fillId="2" borderId="32" xfId="0" applyNumberFormat="1" applyFill="1" applyBorder="1" applyAlignment="1">
      <alignment horizontal="center" vertical="center"/>
    </xf>
    <xf numFmtId="0" fontId="0" fillId="0" borderId="28" xfId="0" applyBorder="1"/>
    <xf numFmtId="0" fontId="0" fillId="0" borderId="24" xfId="0" applyBorder="1"/>
    <xf numFmtId="0" fontId="0" fillId="0" borderId="34" xfId="0" applyBorder="1"/>
    <xf numFmtId="165" fontId="0" fillId="0" borderId="35" xfId="0" applyNumberFormat="1" applyBorder="1" applyAlignment="1">
      <alignment horizontal="center" vertical="center"/>
    </xf>
    <xf numFmtId="165" fontId="0" fillId="0" borderId="36" xfId="0" applyNumberFormat="1" applyBorder="1" applyAlignment="1">
      <alignment horizontal="center" vertical="center"/>
    </xf>
    <xf numFmtId="165" fontId="0" fillId="2" borderId="37" xfId="0" applyNumberFormat="1" applyFill="1" applyBorder="1" applyAlignment="1">
      <alignment horizontal="center" vertical="center"/>
    </xf>
    <xf numFmtId="165" fontId="0" fillId="0" borderId="38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165" fontId="0" fillId="0" borderId="10" xfId="0" applyNumberFormat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1" fontId="0" fillId="0" borderId="20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21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1" fontId="0" fillId="0" borderId="4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1" fontId="0" fillId="0" borderId="7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11" xfId="0" applyNumberFormat="1" applyFill="1" applyBorder="1" applyAlignment="1">
      <alignment horizontal="center" vertical="center"/>
    </xf>
    <xf numFmtId="165" fontId="0" fillId="2" borderId="24" xfId="0" applyNumberFormat="1" applyFill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24" xfId="0" applyNumberFormat="1" applyBorder="1" applyAlignment="1">
      <alignment horizontal="center" vertical="center"/>
    </xf>
    <xf numFmtId="165" fontId="0" fillId="2" borderId="15" xfId="0" applyNumberFormat="1" applyFill="1" applyBorder="1" applyAlignment="1">
      <alignment horizontal="center" vertical="center"/>
    </xf>
    <xf numFmtId="11" fontId="0" fillId="0" borderId="23" xfId="0" applyNumberFormat="1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2" borderId="25" xfId="0" applyNumberFormat="1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2" fontId="0" fillId="2" borderId="27" xfId="0" applyNumberFormat="1" applyFill="1" applyBorder="1" applyAlignment="1">
      <alignment horizontal="center" vertical="center"/>
    </xf>
    <xf numFmtId="165" fontId="0" fillId="2" borderId="40" xfId="0" applyNumberFormat="1" applyFill="1" applyBorder="1" applyAlignment="1">
      <alignment horizontal="center" vertical="center"/>
    </xf>
    <xf numFmtId="165" fontId="0" fillId="2" borderId="39" xfId="0" applyNumberFormat="1" applyFill="1" applyBorder="1" applyAlignment="1">
      <alignment horizontal="center" vertical="center"/>
    </xf>
    <xf numFmtId="165" fontId="0" fillId="2" borderId="41" xfId="0" applyNumberForma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166" fontId="0" fillId="0" borderId="0" xfId="0" applyNumberFormat="1"/>
    <xf numFmtId="0" fontId="1" fillId="0" borderId="0" xfId="0" applyFont="1"/>
    <xf numFmtId="0" fontId="1" fillId="5" borderId="0" xfId="0" applyFont="1" applyFill="1"/>
    <xf numFmtId="2" fontId="1" fillId="0" borderId="0" xfId="0" applyNumberFormat="1" applyFont="1" applyAlignment="1">
      <alignment horizontal="center" vertical="center" wrapText="1"/>
    </xf>
    <xf numFmtId="166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Q28"/>
  <sheetViews>
    <sheetView workbookViewId="0">
      <selection activeCell="N26" sqref="N26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  <col min="11" max="11" width="21" customWidth="1"/>
    <col min="12" max="12" width="11.6640625" customWidth="1"/>
    <col min="15" max="15" width="12" customWidth="1"/>
  </cols>
  <sheetData>
    <row r="1" spans="1:17" ht="33" customHeight="1" thickBot="1" x14ac:dyDescent="0.25">
      <c r="A1" s="22"/>
      <c r="B1" s="22"/>
      <c r="C1" s="22"/>
      <c r="D1" s="22"/>
      <c r="E1" s="22"/>
      <c r="I1" s="1"/>
      <c r="J1" s="47" t="s">
        <v>4</v>
      </c>
      <c r="K1" s="47" t="s">
        <v>5</v>
      </c>
      <c r="L1" s="47" t="s">
        <v>9</v>
      </c>
      <c r="M1" s="47" t="s">
        <v>6</v>
      </c>
      <c r="N1" s="47" t="s">
        <v>7</v>
      </c>
      <c r="O1" s="47" t="s">
        <v>21</v>
      </c>
      <c r="Q1" s="7" t="s">
        <v>14</v>
      </c>
    </row>
    <row r="2" spans="1:17" ht="16" customHeight="1" x14ac:dyDescent="0.2">
      <c r="A2" s="23"/>
      <c r="B2" s="24"/>
      <c r="C2" s="24"/>
      <c r="D2" s="1"/>
      <c r="E2" s="6"/>
      <c r="H2" s="66" t="s">
        <v>15</v>
      </c>
      <c r="I2" s="73" t="s">
        <v>16</v>
      </c>
      <c r="J2" s="38">
        <v>1</v>
      </c>
      <c r="K2" s="41">
        <v>10000</v>
      </c>
      <c r="L2" s="39">
        <f t="shared" ref="L2:L10" si="0">J2*5*K2</f>
        <v>50000</v>
      </c>
      <c r="M2" s="76">
        <f>AVERAGE(L2:L4)</f>
        <v>83333.333333333328</v>
      </c>
      <c r="N2" s="79">
        <f>LOG10(M2)</f>
        <v>4.9208187539523749</v>
      </c>
      <c r="Q2" s="71">
        <v>0.34100000000000003</v>
      </c>
    </row>
    <row r="3" spans="1:17" ht="16" customHeight="1" x14ac:dyDescent="0.2">
      <c r="A3" s="23"/>
      <c r="B3" s="24"/>
      <c r="C3" s="24"/>
      <c r="D3" s="1"/>
      <c r="E3" s="6"/>
      <c r="H3" s="84"/>
      <c r="I3" s="74"/>
      <c r="J3" s="37">
        <v>2</v>
      </c>
      <c r="K3" s="42">
        <v>10000</v>
      </c>
      <c r="L3" s="34">
        <f t="shared" si="0"/>
        <v>100000</v>
      </c>
      <c r="M3" s="77"/>
      <c r="N3" s="80"/>
      <c r="Q3" s="71"/>
    </row>
    <row r="4" spans="1:17" x14ac:dyDescent="0.2">
      <c r="A4" s="25"/>
      <c r="B4" s="24"/>
      <c r="C4" s="24"/>
      <c r="D4" s="26"/>
      <c r="E4" s="27"/>
      <c r="H4" s="67"/>
      <c r="I4" s="75"/>
      <c r="J4" s="33">
        <v>2</v>
      </c>
      <c r="K4" s="43">
        <v>10000</v>
      </c>
      <c r="L4" s="34">
        <f t="shared" si="0"/>
        <v>100000</v>
      </c>
      <c r="M4" s="78"/>
      <c r="N4" s="70"/>
      <c r="Q4" s="71"/>
    </row>
    <row r="5" spans="1:17" x14ac:dyDescent="0.2">
      <c r="A5" s="23"/>
      <c r="B5" s="24"/>
      <c r="C5" s="24"/>
      <c r="D5" s="1"/>
      <c r="E5" s="6"/>
      <c r="H5" s="67"/>
      <c r="I5" s="75" t="s">
        <v>17</v>
      </c>
      <c r="J5" s="33">
        <v>11</v>
      </c>
      <c r="K5" s="34">
        <v>10000</v>
      </c>
      <c r="L5" s="36">
        <f>J5*5*K5</f>
        <v>550000</v>
      </c>
      <c r="M5" s="81">
        <f>AVERAGE(L5:L7)</f>
        <v>566666.66666666663</v>
      </c>
      <c r="N5" s="70">
        <f>LOG10(M5)</f>
        <v>5.7533276666586115</v>
      </c>
      <c r="Q5" s="72">
        <v>0.32</v>
      </c>
    </row>
    <row r="6" spans="1:17" x14ac:dyDescent="0.2">
      <c r="A6" s="23"/>
      <c r="B6" s="24"/>
      <c r="C6" s="24"/>
      <c r="D6" s="1"/>
      <c r="E6" s="6"/>
      <c r="H6" s="67"/>
      <c r="I6" s="75"/>
      <c r="J6" s="33">
        <v>14</v>
      </c>
      <c r="K6" s="34">
        <v>10000</v>
      </c>
      <c r="L6" s="36">
        <f t="shared" si="0"/>
        <v>700000</v>
      </c>
      <c r="M6" s="81"/>
      <c r="N6" s="70"/>
      <c r="Q6" s="72"/>
    </row>
    <row r="7" spans="1:17" ht="17" thickBot="1" x14ac:dyDescent="0.25">
      <c r="A7" s="25"/>
      <c r="B7" s="24"/>
      <c r="C7" s="24"/>
      <c r="D7" s="26"/>
      <c r="E7" s="27"/>
      <c r="H7" s="67"/>
      <c r="I7" s="75"/>
      <c r="J7" s="33">
        <v>9</v>
      </c>
      <c r="K7" s="34">
        <v>10000</v>
      </c>
      <c r="L7" s="34">
        <f t="shared" si="0"/>
        <v>450000</v>
      </c>
      <c r="M7" s="81"/>
      <c r="N7" s="70"/>
      <c r="Q7" s="72"/>
    </row>
    <row r="8" spans="1:17" ht="16" customHeight="1" x14ac:dyDescent="0.2">
      <c r="H8" s="67"/>
      <c r="I8" s="82" t="s">
        <v>19</v>
      </c>
      <c r="J8" s="33">
        <f>J2+J5</f>
        <v>12</v>
      </c>
      <c r="K8" s="45">
        <v>10000</v>
      </c>
      <c r="L8" s="34">
        <f>J8*5*K8</f>
        <v>600000</v>
      </c>
      <c r="M8" s="89">
        <f>AVERAGE(L8:L10)</f>
        <v>650000</v>
      </c>
      <c r="N8" s="93">
        <f>LOG10(M8)</f>
        <v>5.8129133566428557</v>
      </c>
      <c r="O8" s="100">
        <f>M5/M2</f>
        <v>6.8</v>
      </c>
    </row>
    <row r="9" spans="1:17" ht="16" customHeight="1" x14ac:dyDescent="0.2">
      <c r="H9" s="85"/>
      <c r="I9" s="83"/>
      <c r="J9" s="33">
        <f t="shared" ref="J9:J10" si="1">J3+J6</f>
        <v>16</v>
      </c>
      <c r="K9" s="46">
        <v>10000</v>
      </c>
      <c r="L9" s="34">
        <f t="shared" si="0"/>
        <v>800000</v>
      </c>
      <c r="M9" s="90"/>
      <c r="N9" s="94"/>
      <c r="O9" s="101"/>
    </row>
    <row r="10" spans="1:17" ht="17" thickBot="1" x14ac:dyDescent="0.25">
      <c r="H10" s="85"/>
      <c r="I10" s="83"/>
      <c r="J10" s="44">
        <f t="shared" si="1"/>
        <v>11</v>
      </c>
      <c r="K10" s="46">
        <v>10000</v>
      </c>
      <c r="L10" s="35">
        <f t="shared" si="0"/>
        <v>550000</v>
      </c>
      <c r="M10" s="90"/>
      <c r="N10" s="94"/>
      <c r="O10" s="102"/>
    </row>
    <row r="11" spans="1:17" ht="16" customHeight="1" x14ac:dyDescent="0.2">
      <c r="H11" s="66" t="s">
        <v>20</v>
      </c>
      <c r="I11" s="73" t="s">
        <v>18</v>
      </c>
      <c r="J11" s="38">
        <v>5</v>
      </c>
      <c r="K11" s="39">
        <v>10000</v>
      </c>
      <c r="L11" s="39">
        <f>J11*5*K11</f>
        <v>250000</v>
      </c>
      <c r="M11" s="91">
        <f>AVERAGE(L11:L13)</f>
        <v>183333.33333333334</v>
      </c>
      <c r="N11" s="79">
        <f>LOG10(M11)</f>
        <v>5.2632414347745815</v>
      </c>
      <c r="Q11" s="71">
        <v>0.34399999999999997</v>
      </c>
    </row>
    <row r="12" spans="1:17" ht="16" customHeight="1" x14ac:dyDescent="0.2">
      <c r="H12" s="84"/>
      <c r="I12" s="74"/>
      <c r="J12" s="37">
        <v>5</v>
      </c>
      <c r="K12" s="34">
        <v>10000</v>
      </c>
      <c r="L12" s="34">
        <f t="shared" ref="L12:L19" si="2">J12*5*K12</f>
        <v>250000</v>
      </c>
      <c r="M12" s="92"/>
      <c r="N12" s="80"/>
      <c r="Q12" s="71"/>
    </row>
    <row r="13" spans="1:17" x14ac:dyDescent="0.2">
      <c r="H13" s="67"/>
      <c r="I13" s="75"/>
      <c r="J13" s="33">
        <v>1</v>
      </c>
      <c r="K13" s="34">
        <v>10000</v>
      </c>
      <c r="L13" s="34">
        <f t="shared" si="2"/>
        <v>50000</v>
      </c>
      <c r="M13" s="81"/>
      <c r="N13" s="70"/>
      <c r="Q13" s="71"/>
    </row>
    <row r="14" spans="1:17" ht="16" customHeight="1" x14ac:dyDescent="0.2">
      <c r="H14" s="67"/>
      <c r="I14" s="75" t="s">
        <v>17</v>
      </c>
      <c r="J14" s="33">
        <v>10</v>
      </c>
      <c r="K14" s="34">
        <v>10000</v>
      </c>
      <c r="L14" s="34">
        <f t="shared" si="2"/>
        <v>500000</v>
      </c>
      <c r="M14" s="81">
        <f>AVERAGE(L14:L16)</f>
        <v>533333.33333333337</v>
      </c>
      <c r="N14" s="95">
        <f>LOG10(M14)</f>
        <v>5.7269987279362624</v>
      </c>
      <c r="Q14" s="72">
        <v>0.32</v>
      </c>
    </row>
    <row r="15" spans="1:17" ht="16" customHeight="1" thickBot="1" x14ac:dyDescent="0.25">
      <c r="H15" s="67"/>
      <c r="I15" s="75"/>
      <c r="J15" s="33">
        <v>14</v>
      </c>
      <c r="K15" s="34">
        <v>10000</v>
      </c>
      <c r="L15" s="34">
        <f t="shared" si="2"/>
        <v>700000</v>
      </c>
      <c r="M15" s="81"/>
      <c r="N15" s="96"/>
      <c r="Q15" s="72"/>
    </row>
    <row r="16" spans="1:17" ht="17" thickBot="1" x14ac:dyDescent="0.25">
      <c r="H16" s="67"/>
      <c r="I16" s="75"/>
      <c r="J16" s="33">
        <v>8</v>
      </c>
      <c r="K16" s="34">
        <v>10000</v>
      </c>
      <c r="L16" s="34">
        <f t="shared" si="2"/>
        <v>400000</v>
      </c>
      <c r="M16" s="81"/>
      <c r="N16" s="80"/>
      <c r="P16" s="110" t="s">
        <v>38</v>
      </c>
      <c r="Q16" s="72"/>
    </row>
    <row r="17" spans="8:16" x14ac:dyDescent="0.2">
      <c r="H17" s="67"/>
      <c r="I17" s="75" t="s">
        <v>19</v>
      </c>
      <c r="J17" s="33">
        <f>J11+J14</f>
        <v>15</v>
      </c>
      <c r="K17" s="34">
        <v>10000</v>
      </c>
      <c r="L17" s="34">
        <f t="shared" si="2"/>
        <v>750000</v>
      </c>
      <c r="M17" s="89">
        <f>AVERAGE(L17:L19)</f>
        <v>716666.66666666663</v>
      </c>
      <c r="N17" s="93">
        <f>LOG10(M17)</f>
        <v>5.8553172051959432</v>
      </c>
      <c r="O17" s="107">
        <f>M14/M11</f>
        <v>2.9090909090909092</v>
      </c>
      <c r="P17" s="104">
        <f>M11/M14</f>
        <v>0.34375</v>
      </c>
    </row>
    <row r="18" spans="8:16" x14ac:dyDescent="0.2">
      <c r="H18" s="85"/>
      <c r="I18" s="87"/>
      <c r="J18" s="33">
        <f t="shared" ref="J18:J19" si="3">J12+J15</f>
        <v>19</v>
      </c>
      <c r="K18" s="34">
        <v>10000</v>
      </c>
      <c r="L18" s="34">
        <f>J18*5*K18</f>
        <v>950000</v>
      </c>
      <c r="M18" s="98"/>
      <c r="N18" s="94"/>
      <c r="O18" s="108"/>
      <c r="P18" s="105"/>
    </row>
    <row r="19" spans="8:16" ht="17" thickBot="1" x14ac:dyDescent="0.25">
      <c r="H19" s="86"/>
      <c r="I19" s="88"/>
      <c r="J19" s="33">
        <f t="shared" si="3"/>
        <v>9</v>
      </c>
      <c r="K19" s="40">
        <v>10000</v>
      </c>
      <c r="L19" s="40">
        <f t="shared" si="2"/>
        <v>450000</v>
      </c>
      <c r="M19" s="99"/>
      <c r="N19" s="97"/>
      <c r="O19" s="109"/>
      <c r="P19" s="106"/>
    </row>
    <row r="20" spans="8:16" x14ac:dyDescent="0.2">
      <c r="I20" s="8"/>
      <c r="K20" s="20"/>
      <c r="L20" s="20"/>
      <c r="M20" s="21"/>
      <c r="N20" s="19"/>
    </row>
    <row r="21" spans="8:16" ht="17" thickBot="1" x14ac:dyDescent="0.25">
      <c r="I21" s="8"/>
      <c r="K21" s="20"/>
      <c r="L21" s="20"/>
      <c r="M21" s="21"/>
      <c r="N21" s="19"/>
    </row>
    <row r="22" spans="8:16" ht="17" thickBot="1" x14ac:dyDescent="0.25">
      <c r="J22" s="61" t="s">
        <v>7</v>
      </c>
      <c r="K22" s="59" t="s">
        <v>21</v>
      </c>
    </row>
    <row r="23" spans="8:16" ht="51" x14ac:dyDescent="0.2">
      <c r="H23" s="66" t="s">
        <v>15</v>
      </c>
      <c r="I23" s="52" t="s">
        <v>16</v>
      </c>
      <c r="J23" s="62">
        <v>4.9208187539523749</v>
      </c>
      <c r="K23" s="59"/>
    </row>
    <row r="24" spans="8:16" ht="52" thickBot="1" x14ac:dyDescent="0.25">
      <c r="H24" s="67"/>
      <c r="I24" s="53" t="s">
        <v>17</v>
      </c>
      <c r="J24" s="63">
        <v>5.7533276666586115</v>
      </c>
      <c r="K24" s="60"/>
    </row>
    <row r="25" spans="8:16" ht="17" thickBot="1" x14ac:dyDescent="0.25">
      <c r="H25" s="68"/>
      <c r="I25" s="55" t="s">
        <v>19</v>
      </c>
      <c r="J25" s="64">
        <v>5.8129133566428557</v>
      </c>
      <c r="K25" s="56">
        <v>6.8</v>
      </c>
    </row>
    <row r="26" spans="8:16" ht="51" x14ac:dyDescent="0.2">
      <c r="H26" s="67" t="s">
        <v>20</v>
      </c>
      <c r="I26" s="54" t="s">
        <v>18</v>
      </c>
      <c r="J26" s="65">
        <v>5.2632414347745815</v>
      </c>
      <c r="K26" s="60"/>
    </row>
    <row r="27" spans="8:16" ht="52" thickBot="1" x14ac:dyDescent="0.25">
      <c r="H27" s="67"/>
      <c r="I27" s="53" t="s">
        <v>17</v>
      </c>
      <c r="J27" s="63">
        <v>5.7269987279362624</v>
      </c>
      <c r="K27" s="60"/>
    </row>
    <row r="28" spans="8:16" ht="18" thickBot="1" x14ac:dyDescent="0.25">
      <c r="H28" s="69"/>
      <c r="I28" s="57" t="s">
        <v>19</v>
      </c>
      <c r="J28" s="64">
        <v>5.8553172051959432</v>
      </c>
      <c r="K28" s="58">
        <v>2.9090909090909092</v>
      </c>
    </row>
  </sheetData>
  <mergeCells count="29">
    <mergeCell ref="N17:N19"/>
    <mergeCell ref="M17:M19"/>
    <mergeCell ref="Q14:Q16"/>
    <mergeCell ref="O8:O10"/>
    <mergeCell ref="O17:O19"/>
    <mergeCell ref="Q11:Q13"/>
    <mergeCell ref="N11:N13"/>
    <mergeCell ref="P17:P19"/>
    <mergeCell ref="M5:M7"/>
    <mergeCell ref="I11:I13"/>
    <mergeCell ref="M11:M13"/>
    <mergeCell ref="N8:N10"/>
    <mergeCell ref="N14:N16"/>
    <mergeCell ref="H23:H25"/>
    <mergeCell ref="H26:H28"/>
    <mergeCell ref="N5:N7"/>
    <mergeCell ref="Q2:Q4"/>
    <mergeCell ref="Q5:Q7"/>
    <mergeCell ref="I2:I4"/>
    <mergeCell ref="M2:M4"/>
    <mergeCell ref="N2:N4"/>
    <mergeCell ref="I14:I16"/>
    <mergeCell ref="M14:M16"/>
    <mergeCell ref="I8:I10"/>
    <mergeCell ref="H2:H10"/>
    <mergeCell ref="H11:H19"/>
    <mergeCell ref="I17:I19"/>
    <mergeCell ref="M8:M10"/>
    <mergeCell ref="I5:I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N321"/>
  <sheetViews>
    <sheetView tabSelected="1" topLeftCell="B19" zoomScale="116" zoomScaleNormal="100" workbookViewId="0">
      <selection activeCell="R44" sqref="R44"/>
    </sheetView>
  </sheetViews>
  <sheetFormatPr baseColWidth="10" defaultRowHeight="16" x14ac:dyDescent="0.2"/>
  <cols>
    <col min="1" max="1" width="16.83203125" customWidth="1"/>
    <col min="8" max="8" width="23" style="3" customWidth="1"/>
    <col min="11" max="11" width="10.83203125" style="5"/>
    <col min="14" max="14" width="10.83203125" style="112"/>
  </cols>
  <sheetData>
    <row r="1" spans="1:11" ht="51" x14ac:dyDescent="0.2">
      <c r="A1" s="2" t="s">
        <v>22</v>
      </c>
      <c r="B1" s="103" t="s">
        <v>23</v>
      </c>
      <c r="C1" s="103"/>
      <c r="D1" s="6" t="s">
        <v>0</v>
      </c>
      <c r="E1" s="6" t="s">
        <v>3</v>
      </c>
      <c r="F1" s="6" t="s">
        <v>1</v>
      </c>
      <c r="G1" s="9" t="s">
        <v>2</v>
      </c>
      <c r="H1" s="48" t="s">
        <v>24</v>
      </c>
      <c r="I1" s="6" t="s">
        <v>25</v>
      </c>
      <c r="J1" s="6" t="s">
        <v>26</v>
      </c>
      <c r="K1" s="50" t="s">
        <v>27</v>
      </c>
    </row>
    <row r="2" spans="1:11" x14ac:dyDescent="0.2">
      <c r="A2" s="4" t="s">
        <v>10</v>
      </c>
      <c r="B2">
        <v>7</v>
      </c>
      <c r="C2">
        <v>14</v>
      </c>
      <c r="D2">
        <f>AVERAGE(B2:C2)</f>
        <v>10.5</v>
      </c>
      <c r="E2" s="4">
        <v>1000</v>
      </c>
      <c r="F2" s="4">
        <f>1812.1-1789.9</f>
        <v>22.199999999999818</v>
      </c>
      <c r="G2" s="10">
        <f>LOG10(D2*100*E2/F2*1000)</f>
        <v>7.674836324619303</v>
      </c>
      <c r="J2" t="e">
        <f>(D2*E2)/I2</f>
        <v>#DIV/0!</v>
      </c>
      <c r="K2" s="5" t="e">
        <f>J2/dose!$O$8</f>
        <v>#DIV/0!</v>
      </c>
    </row>
    <row r="3" spans="1:11" x14ac:dyDescent="0.2">
      <c r="A3" s="4" t="s">
        <v>11</v>
      </c>
      <c r="D3" t="e">
        <f t="shared" ref="D3:D6" si="0">AVERAGE(B3:C3)</f>
        <v>#DIV/0!</v>
      </c>
      <c r="E3" s="4"/>
      <c r="F3" s="4"/>
      <c r="G3" s="10" t="e">
        <f>LOG10(D3*100*E3/F3*1000)</f>
        <v>#DIV/0!</v>
      </c>
      <c r="J3" t="e">
        <f t="shared" ref="J3:J6" si="1">(D3*E3)/I3</f>
        <v>#DIV/0!</v>
      </c>
      <c r="K3" s="5" t="e">
        <f>J3/dose!$O$8</f>
        <v>#DIV/0!</v>
      </c>
    </row>
    <row r="4" spans="1:11" x14ac:dyDescent="0.2">
      <c r="A4" s="4" t="s">
        <v>8</v>
      </c>
      <c r="B4">
        <v>42</v>
      </c>
      <c r="C4">
        <v>42</v>
      </c>
      <c r="D4">
        <f t="shared" si="0"/>
        <v>42</v>
      </c>
      <c r="E4" s="4">
        <v>1000</v>
      </c>
      <c r="F4" s="4">
        <f>1706.7-1683.4</f>
        <v>23.299999999999955</v>
      </c>
      <c r="G4" s="10">
        <f t="shared" ref="G4:G6" si="2">LOG10(D4*100*E4/F4*1000)</f>
        <v>8.2558933693718828</v>
      </c>
      <c r="I4">
        <f t="shared" ref="I4" si="3">H4/10</f>
        <v>0</v>
      </c>
      <c r="J4" t="e">
        <f t="shared" si="1"/>
        <v>#DIV/0!</v>
      </c>
      <c r="K4" s="5" t="e">
        <f>J4/dose!$O$8</f>
        <v>#DIV/0!</v>
      </c>
    </row>
    <row r="5" spans="1:11" x14ac:dyDescent="0.2">
      <c r="A5" s="4" t="s">
        <v>13</v>
      </c>
      <c r="B5">
        <v>10</v>
      </c>
      <c r="D5">
        <f t="shared" si="0"/>
        <v>10</v>
      </c>
      <c r="E5" s="4">
        <v>1000</v>
      </c>
      <c r="F5" s="4">
        <f>1713.7-1666.1</f>
        <v>47.600000000000136</v>
      </c>
      <c r="G5" s="10">
        <f t="shared" si="2"/>
        <v>7.3223930472795056</v>
      </c>
      <c r="H5" s="3">
        <v>0</v>
      </c>
      <c r="I5">
        <f>H5/10</f>
        <v>0</v>
      </c>
      <c r="J5" t="e">
        <f t="shared" si="1"/>
        <v>#DIV/0!</v>
      </c>
      <c r="K5" s="5" t="e">
        <f>J5/dose!$O$8</f>
        <v>#DIV/0!</v>
      </c>
    </row>
    <row r="6" spans="1:11" ht="16" customHeight="1" x14ac:dyDescent="0.2">
      <c r="A6" s="6" t="s">
        <v>12</v>
      </c>
      <c r="B6" s="8"/>
      <c r="C6" s="8"/>
      <c r="D6" t="e">
        <f t="shared" si="0"/>
        <v>#DIV/0!</v>
      </c>
      <c r="E6" s="6"/>
      <c r="F6" s="6"/>
      <c r="G6" s="10" t="e">
        <f t="shared" si="2"/>
        <v>#DIV/0!</v>
      </c>
      <c r="J6" t="e">
        <f t="shared" si="1"/>
        <v>#DIV/0!</v>
      </c>
      <c r="K6" s="5" t="e">
        <f>J6/dose!$O$8</f>
        <v>#DIV/0!</v>
      </c>
    </row>
    <row r="7" spans="1:11" x14ac:dyDescent="0.2">
      <c r="A7" s="4"/>
      <c r="E7" s="4"/>
      <c r="F7" s="4"/>
      <c r="G7" s="10"/>
    </row>
    <row r="8" spans="1:11" ht="51" x14ac:dyDescent="0.2">
      <c r="A8" s="2" t="s">
        <v>30</v>
      </c>
      <c r="B8" s="103" t="s">
        <v>23</v>
      </c>
      <c r="C8" s="103"/>
      <c r="D8" s="6" t="s">
        <v>0</v>
      </c>
      <c r="E8" s="6" t="s">
        <v>3</v>
      </c>
      <c r="F8" s="6" t="s">
        <v>1</v>
      </c>
      <c r="G8" s="9" t="s">
        <v>2</v>
      </c>
      <c r="H8" s="48" t="s">
        <v>24</v>
      </c>
      <c r="I8" s="6" t="s">
        <v>25</v>
      </c>
      <c r="J8" s="6" t="s">
        <v>26</v>
      </c>
      <c r="K8" s="50" t="s">
        <v>27</v>
      </c>
    </row>
    <row r="9" spans="1:11" x14ac:dyDescent="0.2">
      <c r="A9" s="4" t="s">
        <v>10</v>
      </c>
      <c r="B9">
        <v>27</v>
      </c>
      <c r="C9">
        <v>27</v>
      </c>
      <c r="D9">
        <f>AVERAGE(B9:C9)</f>
        <v>27</v>
      </c>
      <c r="E9" s="4">
        <v>1000</v>
      </c>
      <c r="F9" s="4">
        <f>1652.6-1632.5</f>
        <v>20.099999999999909</v>
      </c>
      <c r="G9" s="10">
        <f>LOG10(D9*100*E9/F9*1000)</f>
        <v>8.1281677067385001</v>
      </c>
      <c r="J9" t="e">
        <f>(D9*E9)/I9</f>
        <v>#DIV/0!</v>
      </c>
      <c r="K9" s="5" t="e">
        <f>J9/dose!$O$8</f>
        <v>#DIV/0!</v>
      </c>
    </row>
    <row r="10" spans="1:11" x14ac:dyDescent="0.2">
      <c r="A10" s="4" t="s">
        <v>11</v>
      </c>
      <c r="D10" t="e">
        <f t="shared" ref="D10:D13" si="4">AVERAGE(B10:C10)</f>
        <v>#DIV/0!</v>
      </c>
      <c r="E10" s="4"/>
      <c r="F10" s="4"/>
      <c r="G10" s="10" t="e">
        <f>LOG10(D10*100*E10/F10*1000)</f>
        <v>#DIV/0!</v>
      </c>
      <c r="J10" t="e">
        <f t="shared" ref="J10:J13" si="5">(D10*E10)/I10</f>
        <v>#DIV/0!</v>
      </c>
      <c r="K10" s="5" t="e">
        <f>J10/dose!$O$8</f>
        <v>#DIV/0!</v>
      </c>
    </row>
    <row r="11" spans="1:11" x14ac:dyDescent="0.2">
      <c r="A11" s="4" t="s">
        <v>8</v>
      </c>
      <c r="B11">
        <v>9</v>
      </c>
      <c r="C11">
        <v>7</v>
      </c>
      <c r="D11">
        <f t="shared" si="4"/>
        <v>8</v>
      </c>
      <c r="E11" s="4">
        <v>10000</v>
      </c>
      <c r="F11" s="4">
        <f>1706.7-1683.4</f>
        <v>23.299999999999955</v>
      </c>
      <c r="G11" s="10">
        <f t="shared" ref="G11:G13" si="6">LOG10(D11*100*E11/F11*1000)</f>
        <v>8.5357340659659258</v>
      </c>
      <c r="I11">
        <f t="shared" ref="I11" si="7">H11/10</f>
        <v>0</v>
      </c>
      <c r="J11" t="e">
        <f>(D11*E11)/I11</f>
        <v>#DIV/0!</v>
      </c>
      <c r="K11" s="5" t="e">
        <f>J11/dose!$O$8</f>
        <v>#DIV/0!</v>
      </c>
    </row>
    <row r="12" spans="1:11" x14ac:dyDescent="0.2">
      <c r="A12" s="4" t="s">
        <v>13</v>
      </c>
      <c r="B12">
        <v>10</v>
      </c>
      <c r="D12">
        <f t="shared" si="4"/>
        <v>10</v>
      </c>
      <c r="E12" s="4">
        <v>1000</v>
      </c>
      <c r="F12" s="4">
        <f>1726.5-1628.1</f>
        <v>98.400000000000091</v>
      </c>
      <c r="G12" s="10">
        <f t="shared" si="6"/>
        <v>7.0070049015686582</v>
      </c>
      <c r="H12" s="3">
        <v>0</v>
      </c>
      <c r="I12">
        <f>H12/10</f>
        <v>0</v>
      </c>
      <c r="J12" t="e">
        <f t="shared" si="5"/>
        <v>#DIV/0!</v>
      </c>
      <c r="K12" s="5" t="e">
        <f>J12/dose!$O$8</f>
        <v>#DIV/0!</v>
      </c>
    </row>
    <row r="13" spans="1:11" ht="17" x14ac:dyDescent="0.2">
      <c r="A13" s="6" t="s">
        <v>12</v>
      </c>
      <c r="B13" s="8"/>
      <c r="C13" s="8"/>
      <c r="D13" t="e">
        <f t="shared" si="4"/>
        <v>#DIV/0!</v>
      </c>
      <c r="E13" s="6"/>
      <c r="F13" s="6"/>
      <c r="G13" s="10" t="e">
        <f t="shared" si="6"/>
        <v>#DIV/0!</v>
      </c>
      <c r="J13" t="e">
        <f t="shared" si="5"/>
        <v>#DIV/0!</v>
      </c>
      <c r="K13" s="5" t="e">
        <f>J13/dose!$O$8</f>
        <v>#DIV/0!</v>
      </c>
    </row>
    <row r="14" spans="1:11" x14ac:dyDescent="0.2">
      <c r="A14" s="4"/>
      <c r="E14" s="4"/>
      <c r="F14" s="4"/>
      <c r="G14" s="10"/>
    </row>
    <row r="15" spans="1:11" ht="51" x14ac:dyDescent="0.2">
      <c r="A15" s="2" t="s">
        <v>31</v>
      </c>
      <c r="B15" s="103" t="s">
        <v>23</v>
      </c>
      <c r="C15" s="103"/>
      <c r="D15" s="6" t="s">
        <v>0</v>
      </c>
      <c r="E15" s="6" t="s">
        <v>3</v>
      </c>
      <c r="F15" s="6" t="s">
        <v>1</v>
      </c>
      <c r="G15" s="9" t="s">
        <v>2</v>
      </c>
      <c r="H15" s="48" t="s">
        <v>24</v>
      </c>
      <c r="I15" s="6" t="s">
        <v>25</v>
      </c>
      <c r="J15" s="6" t="s">
        <v>26</v>
      </c>
      <c r="K15" s="50" t="s">
        <v>27</v>
      </c>
    </row>
    <row r="16" spans="1:11" x14ac:dyDescent="0.2">
      <c r="A16" s="4" t="s">
        <v>10</v>
      </c>
      <c r="B16">
        <v>16</v>
      </c>
      <c r="C16">
        <v>16</v>
      </c>
      <c r="D16">
        <f>AVERAGE(B16:C16)</f>
        <v>16</v>
      </c>
      <c r="E16" s="4">
        <v>1000</v>
      </c>
      <c r="F16" s="4">
        <f>1735-1717.7</f>
        <v>17.299999999999955</v>
      </c>
      <c r="G16" s="10">
        <f>LOG10(D16*100*E16/F16*1000)</f>
        <v>7.9660738795271309</v>
      </c>
      <c r="J16" t="e">
        <f>(D16*E16)/I16</f>
        <v>#DIV/0!</v>
      </c>
      <c r="K16" s="5" t="e">
        <f>J16/dose!$O$8</f>
        <v>#DIV/0!</v>
      </c>
    </row>
    <row r="17" spans="1:11" x14ac:dyDescent="0.2">
      <c r="A17" s="4" t="s">
        <v>11</v>
      </c>
      <c r="D17" t="e">
        <f t="shared" ref="D17:D20" si="8">AVERAGE(B17:C17)</f>
        <v>#DIV/0!</v>
      </c>
      <c r="E17" s="4"/>
      <c r="F17" s="4"/>
      <c r="G17" s="10" t="e">
        <f>LOG10(D17*100*E17/F17*1000)</f>
        <v>#DIV/0!</v>
      </c>
      <c r="J17" t="e">
        <f t="shared" ref="J17:J20" si="9">(D17*E17)/I17</f>
        <v>#DIV/0!</v>
      </c>
      <c r="K17" s="5" t="e">
        <f>J17/dose!$O$8</f>
        <v>#DIV/0!</v>
      </c>
    </row>
    <row r="18" spans="1:11" x14ac:dyDescent="0.2">
      <c r="A18" s="4" t="s">
        <v>8</v>
      </c>
      <c r="B18">
        <v>34</v>
      </c>
      <c r="C18">
        <v>27</v>
      </c>
      <c r="D18">
        <f t="shared" si="8"/>
        <v>30.5</v>
      </c>
      <c r="E18" s="4">
        <v>10000</v>
      </c>
      <c r="F18" s="4">
        <f>1730.8-1706.5</f>
        <v>24.299999999999955</v>
      </c>
      <c r="G18" s="10">
        <f t="shared" ref="G18:G20" si="10">LOG10(D18*100*E18/F18*1000)</f>
        <v>9.0986935657484747</v>
      </c>
      <c r="I18">
        <f t="shared" ref="I18" si="11">H18/10</f>
        <v>0</v>
      </c>
      <c r="J18" t="e">
        <f t="shared" si="9"/>
        <v>#DIV/0!</v>
      </c>
      <c r="K18" s="5" t="e">
        <f>J18/dose!$O$8</f>
        <v>#DIV/0!</v>
      </c>
    </row>
    <row r="19" spans="1:11" x14ac:dyDescent="0.2">
      <c r="A19" s="4" t="s">
        <v>13</v>
      </c>
      <c r="B19">
        <v>9</v>
      </c>
      <c r="D19">
        <f t="shared" si="8"/>
        <v>9</v>
      </c>
      <c r="E19" s="4">
        <v>10000</v>
      </c>
      <c r="F19" s="4">
        <f>1752.7-1695</f>
        <v>57.700000000000045</v>
      </c>
      <c r="G19" s="10">
        <f t="shared" si="10"/>
        <v>8.1930666962835925</v>
      </c>
      <c r="H19" s="3">
        <v>0</v>
      </c>
      <c r="I19">
        <f>H19/10</f>
        <v>0</v>
      </c>
      <c r="J19" t="e">
        <f t="shared" si="9"/>
        <v>#DIV/0!</v>
      </c>
      <c r="K19" s="5" t="e">
        <f>J19/dose!$O$8</f>
        <v>#DIV/0!</v>
      </c>
    </row>
    <row r="20" spans="1:11" ht="17" x14ac:dyDescent="0.2">
      <c r="A20" s="6" t="s">
        <v>12</v>
      </c>
      <c r="B20" s="8"/>
      <c r="C20" s="8"/>
      <c r="D20" t="e">
        <f t="shared" si="8"/>
        <v>#DIV/0!</v>
      </c>
      <c r="E20" s="6"/>
      <c r="F20" s="6"/>
      <c r="G20" s="10" t="e">
        <f t="shared" si="10"/>
        <v>#DIV/0!</v>
      </c>
      <c r="J20" t="e">
        <f t="shared" si="9"/>
        <v>#DIV/0!</v>
      </c>
      <c r="K20" s="5" t="e">
        <f>J20/dose!$O$8</f>
        <v>#DIV/0!</v>
      </c>
    </row>
    <row r="21" spans="1:11" x14ac:dyDescent="0.2">
      <c r="A21" s="4"/>
      <c r="E21" s="4"/>
      <c r="F21" s="4"/>
      <c r="G21" s="10"/>
    </row>
    <row r="22" spans="1:11" ht="51" x14ac:dyDescent="0.2">
      <c r="A22" s="2" t="s">
        <v>32</v>
      </c>
      <c r="B22" s="103" t="s">
        <v>23</v>
      </c>
      <c r="C22" s="103"/>
      <c r="D22" s="6" t="s">
        <v>0</v>
      </c>
      <c r="E22" s="6" t="s">
        <v>3</v>
      </c>
      <c r="F22" s="6" t="s">
        <v>1</v>
      </c>
      <c r="G22" s="9" t="s">
        <v>2</v>
      </c>
      <c r="H22" s="48" t="s">
        <v>24</v>
      </c>
      <c r="I22" s="6" t="s">
        <v>25</v>
      </c>
      <c r="J22" s="6" t="s">
        <v>26</v>
      </c>
      <c r="K22" s="50" t="s">
        <v>27</v>
      </c>
    </row>
    <row r="23" spans="1:11" x14ac:dyDescent="0.2">
      <c r="A23" s="4" t="s">
        <v>10</v>
      </c>
      <c r="B23">
        <v>40</v>
      </c>
      <c r="C23">
        <v>39</v>
      </c>
      <c r="D23">
        <f>AVERAGE(B23:C23)</f>
        <v>39.5</v>
      </c>
      <c r="E23" s="4">
        <v>100</v>
      </c>
      <c r="F23" s="4">
        <f>1743.5-1717.9</f>
        <v>25.599999999999909</v>
      </c>
      <c r="G23" s="10">
        <f>LOG10(D23*100*E23/F23*1000)</f>
        <v>7.1883571303146123</v>
      </c>
      <c r="J23" t="e">
        <f>(D23*E23)/I23</f>
        <v>#DIV/0!</v>
      </c>
      <c r="K23" s="5" t="e">
        <f>J23/dose!$O$8</f>
        <v>#DIV/0!</v>
      </c>
    </row>
    <row r="24" spans="1:11" ht="16" customHeight="1" x14ac:dyDescent="0.2">
      <c r="A24" s="4" t="s">
        <v>11</v>
      </c>
      <c r="D24" t="e">
        <f t="shared" ref="D24:D27" si="12">AVERAGE(B24:C24)</f>
        <v>#DIV/0!</v>
      </c>
      <c r="E24" s="4"/>
      <c r="F24" s="4"/>
      <c r="G24" s="10" t="e">
        <f>LOG10(D24*100*E24/F24*1000)</f>
        <v>#DIV/0!</v>
      </c>
      <c r="J24" t="e">
        <f t="shared" ref="J24:J27" si="13">(D24*E24)/I24</f>
        <v>#DIV/0!</v>
      </c>
      <c r="K24" s="5" t="e">
        <f>J24/dose!$O$8</f>
        <v>#DIV/0!</v>
      </c>
    </row>
    <row r="25" spans="1:11" ht="16" customHeight="1" x14ac:dyDescent="0.2">
      <c r="A25" s="4" t="s">
        <v>8</v>
      </c>
      <c r="B25">
        <v>11</v>
      </c>
      <c r="C25">
        <v>13</v>
      </c>
      <c r="D25">
        <f t="shared" si="12"/>
        <v>12</v>
      </c>
      <c r="E25" s="4">
        <v>1000</v>
      </c>
      <c r="F25" s="4">
        <f>1709.7-1700.5</f>
        <v>9.2000000000000455</v>
      </c>
      <c r="G25" s="10">
        <f t="shared" ref="G25:G27" si="14">LOG10(D25*100*E25/F25*1000)</f>
        <v>8.1153934187020678</v>
      </c>
      <c r="I25">
        <f t="shared" ref="I25" si="15">H25/10</f>
        <v>0</v>
      </c>
      <c r="J25" t="e">
        <f t="shared" si="13"/>
        <v>#DIV/0!</v>
      </c>
      <c r="K25" s="5" t="e">
        <f>J25/dose!$O$8</f>
        <v>#DIV/0!</v>
      </c>
    </row>
    <row r="26" spans="1:11" x14ac:dyDescent="0.2">
      <c r="A26" s="4" t="s">
        <v>13</v>
      </c>
      <c r="B26">
        <v>27</v>
      </c>
      <c r="D26">
        <f t="shared" si="12"/>
        <v>27</v>
      </c>
      <c r="E26" s="4">
        <v>1000</v>
      </c>
      <c r="F26" s="4"/>
      <c r="G26" s="10" t="e">
        <f t="shared" si="14"/>
        <v>#DIV/0!</v>
      </c>
      <c r="H26" s="3">
        <v>0</v>
      </c>
      <c r="I26">
        <f>H26/10</f>
        <v>0</v>
      </c>
      <c r="J26" t="e">
        <f t="shared" si="13"/>
        <v>#DIV/0!</v>
      </c>
      <c r="K26" s="5" t="e">
        <f>J26/dose!$O$8</f>
        <v>#DIV/0!</v>
      </c>
    </row>
    <row r="27" spans="1:11" ht="17" x14ac:dyDescent="0.2">
      <c r="A27" s="6" t="s">
        <v>12</v>
      </c>
      <c r="B27" s="8"/>
      <c r="C27" s="8"/>
      <c r="D27" t="e">
        <f t="shared" si="12"/>
        <v>#DIV/0!</v>
      </c>
      <c r="E27" s="6"/>
      <c r="F27" s="6"/>
      <c r="G27" s="10" t="e">
        <f t="shared" si="14"/>
        <v>#DIV/0!</v>
      </c>
      <c r="J27" t="e">
        <f t="shared" si="13"/>
        <v>#DIV/0!</v>
      </c>
      <c r="K27" s="5" t="e">
        <f>J27/dose!$O$8</f>
        <v>#DIV/0!</v>
      </c>
    </row>
    <row r="28" spans="1:11" x14ac:dyDescent="0.2">
      <c r="A28" s="4"/>
      <c r="E28" s="4"/>
      <c r="F28" s="4"/>
      <c r="G28" s="10"/>
    </row>
    <row r="29" spans="1:11" ht="51" x14ac:dyDescent="0.2">
      <c r="A29" s="2" t="s">
        <v>33</v>
      </c>
      <c r="B29" s="103" t="s">
        <v>23</v>
      </c>
      <c r="C29" s="103"/>
      <c r="D29" s="6" t="s">
        <v>0</v>
      </c>
      <c r="E29" s="6" t="s">
        <v>3</v>
      </c>
      <c r="F29" s="6" t="s">
        <v>1</v>
      </c>
      <c r="G29" s="9" t="s">
        <v>2</v>
      </c>
      <c r="H29" s="48" t="s">
        <v>24</v>
      </c>
      <c r="I29" s="6" t="s">
        <v>25</v>
      </c>
      <c r="J29" s="6" t="s">
        <v>26</v>
      </c>
      <c r="K29" s="50" t="s">
        <v>27</v>
      </c>
    </row>
    <row r="30" spans="1:11" x14ac:dyDescent="0.2">
      <c r="A30" s="4" t="s">
        <v>10</v>
      </c>
      <c r="B30">
        <v>12</v>
      </c>
      <c r="C30">
        <v>11</v>
      </c>
      <c r="D30">
        <f>AVERAGE(B30:C30)</f>
        <v>11.5</v>
      </c>
      <c r="E30" s="4">
        <v>1000</v>
      </c>
      <c r="F30" s="4">
        <f>1710.3-1703.2</f>
        <v>7.0999999999999091</v>
      </c>
      <c r="G30" s="10">
        <f>LOG10(D30*100*E30/F30*1000)</f>
        <v>8.2094394916345426</v>
      </c>
      <c r="J30" t="e">
        <f>(D30*E30)/I30</f>
        <v>#DIV/0!</v>
      </c>
      <c r="K30" s="5" t="e">
        <f>J30/dose!$O$8</f>
        <v>#DIV/0!</v>
      </c>
    </row>
    <row r="31" spans="1:11" x14ac:dyDescent="0.2">
      <c r="A31" s="4" t="s">
        <v>11</v>
      </c>
      <c r="D31" t="e">
        <f t="shared" ref="D31:D34" si="16">AVERAGE(B31:C31)</f>
        <v>#DIV/0!</v>
      </c>
      <c r="E31" s="4"/>
      <c r="F31" s="4"/>
      <c r="G31" s="10" t="e">
        <f>LOG10(D31*100*E31/F31*1000)</f>
        <v>#DIV/0!</v>
      </c>
      <c r="J31" t="e">
        <f t="shared" ref="J31:J34" si="17">(D31*E31)/I31</f>
        <v>#DIV/0!</v>
      </c>
      <c r="K31" s="5" t="e">
        <f>J31/dose!$O$8</f>
        <v>#DIV/0!</v>
      </c>
    </row>
    <row r="32" spans="1:11" x14ac:dyDescent="0.2">
      <c r="A32" s="4" t="s">
        <v>8</v>
      </c>
      <c r="B32">
        <v>21</v>
      </c>
      <c r="C32">
        <v>28</v>
      </c>
      <c r="D32">
        <f t="shared" si="16"/>
        <v>24.5</v>
      </c>
      <c r="E32" s="4">
        <v>10000</v>
      </c>
      <c r="F32" s="4">
        <f>1709.8-1691.6</f>
        <v>18.200000000000045</v>
      </c>
      <c r="G32" s="10">
        <f t="shared" ref="G32:G34" si="18">LOG10(D32*100*E32/F32*1000)</f>
        <v>9.1290946963794557</v>
      </c>
      <c r="I32">
        <f t="shared" ref="I32" si="19">H32/10</f>
        <v>0</v>
      </c>
      <c r="J32" t="e">
        <f t="shared" si="17"/>
        <v>#DIV/0!</v>
      </c>
      <c r="K32" s="5" t="e">
        <f>J32/dose!$O$8</f>
        <v>#DIV/0!</v>
      </c>
    </row>
    <row r="33" spans="1:14" x14ac:dyDescent="0.2">
      <c r="A33" s="4" t="s">
        <v>13</v>
      </c>
      <c r="B33">
        <v>46</v>
      </c>
      <c r="D33">
        <f t="shared" si="16"/>
        <v>46</v>
      </c>
      <c r="E33" s="4">
        <v>1000</v>
      </c>
      <c r="F33" s="4">
        <f>1741.7-1692.7</f>
        <v>49</v>
      </c>
      <c r="G33" s="10">
        <f t="shared" si="18"/>
        <v>7.9725617516530605</v>
      </c>
      <c r="H33" s="3">
        <v>0</v>
      </c>
      <c r="I33">
        <f>H33/10</f>
        <v>0</v>
      </c>
      <c r="J33" t="e">
        <f t="shared" si="17"/>
        <v>#DIV/0!</v>
      </c>
      <c r="K33" s="5" t="e">
        <f>J33/dose!$O$8</f>
        <v>#DIV/0!</v>
      </c>
    </row>
    <row r="34" spans="1:14" ht="17" x14ac:dyDescent="0.2">
      <c r="A34" s="6" t="s">
        <v>12</v>
      </c>
      <c r="B34" s="8"/>
      <c r="C34" s="8"/>
      <c r="D34" t="e">
        <f t="shared" si="16"/>
        <v>#DIV/0!</v>
      </c>
      <c r="E34" s="6"/>
      <c r="F34" s="6"/>
      <c r="G34" s="10" t="e">
        <f t="shared" si="18"/>
        <v>#DIV/0!</v>
      </c>
      <c r="J34" t="e">
        <f t="shared" si="17"/>
        <v>#DIV/0!</v>
      </c>
      <c r="K34" s="5" t="e">
        <f>J34/dose!$O$8</f>
        <v>#DIV/0!</v>
      </c>
    </row>
    <row r="35" spans="1:14" s="29" customFormat="1" x14ac:dyDescent="0.2">
      <c r="A35" s="28"/>
      <c r="E35" s="28"/>
      <c r="F35" s="28"/>
      <c r="G35" s="30"/>
      <c r="H35" s="49"/>
      <c r="K35" s="51"/>
      <c r="N35" s="113"/>
    </row>
    <row r="36" spans="1:14" ht="51" x14ac:dyDescent="0.2">
      <c r="A36" s="2" t="s">
        <v>28</v>
      </c>
      <c r="B36" s="103" t="s">
        <v>23</v>
      </c>
      <c r="C36" s="103"/>
      <c r="D36" s="6" t="s">
        <v>0</v>
      </c>
      <c r="E36" s="6" t="s">
        <v>3</v>
      </c>
      <c r="F36" s="6" t="s">
        <v>1</v>
      </c>
      <c r="G36" s="9" t="s">
        <v>2</v>
      </c>
      <c r="H36" s="48" t="s">
        <v>29</v>
      </c>
      <c r="I36" s="6" t="s">
        <v>25</v>
      </c>
      <c r="J36" s="6" t="s">
        <v>26</v>
      </c>
      <c r="K36" s="50" t="s">
        <v>27</v>
      </c>
      <c r="M36" s="6" t="s">
        <v>39</v>
      </c>
      <c r="N36" s="114" t="s">
        <v>40</v>
      </c>
    </row>
    <row r="37" spans="1:14" x14ac:dyDescent="0.2">
      <c r="A37" s="4" t="s">
        <v>10</v>
      </c>
      <c r="B37">
        <v>4</v>
      </c>
      <c r="C37">
        <v>8</v>
      </c>
      <c r="D37">
        <f>AVERAGE(B37:C37)</f>
        <v>6</v>
      </c>
      <c r="E37" s="4">
        <v>10000</v>
      </c>
      <c r="F37" s="4">
        <f>1669.9-1657.6</f>
        <v>12.300000000000182</v>
      </c>
      <c r="G37" s="10">
        <f>LOG10(D37*100*E37/F37*1000)</f>
        <v>8.6882461389442387</v>
      </c>
      <c r="J37" t="e">
        <f>(D37*E37)/I37</f>
        <v>#DIV/0!</v>
      </c>
      <c r="K37" s="5" t="e">
        <f>J37/dose!$O$17</f>
        <v>#DIV/0!</v>
      </c>
    </row>
    <row r="38" spans="1:14" x14ac:dyDescent="0.2">
      <c r="A38" s="4" t="s">
        <v>11</v>
      </c>
      <c r="B38">
        <v>46</v>
      </c>
      <c r="C38">
        <v>45</v>
      </c>
      <c r="D38">
        <f t="shared" ref="D38:D41" si="20">AVERAGE(B38:C38)</f>
        <v>45.5</v>
      </c>
      <c r="E38" s="4">
        <v>1000</v>
      </c>
      <c r="F38" s="4">
        <f>1678.7-1660.2</f>
        <v>18.5</v>
      </c>
      <c r="G38" s="10">
        <f>LOG10(D38*100*E38/F38*1000)</f>
        <v>8.3908396682540989</v>
      </c>
      <c r="I38">
        <v>7</v>
      </c>
      <c r="J38">
        <f>(D38*E38)/I38</f>
        <v>6500</v>
      </c>
      <c r="K38" s="5">
        <f>J38/dose!$O$17</f>
        <v>2234.375</v>
      </c>
      <c r="M38" s="111">
        <f>I38/(D38*E38)</f>
        <v>1.5384615384615385E-4</v>
      </c>
      <c r="N38" s="115">
        <f>M38/dose!$P$17</f>
        <v>4.4755244755244756E-4</v>
      </c>
    </row>
    <row r="39" spans="1:14" x14ac:dyDescent="0.2">
      <c r="A39" s="4" t="s">
        <v>8</v>
      </c>
      <c r="B39">
        <v>51</v>
      </c>
      <c r="C39">
        <v>50</v>
      </c>
      <c r="D39">
        <f t="shared" si="20"/>
        <v>50.5</v>
      </c>
      <c r="E39" s="4">
        <v>1000</v>
      </c>
      <c r="F39" s="4">
        <f>1818-1806</f>
        <v>12</v>
      </c>
      <c r="G39" s="10">
        <f t="shared" ref="G39:G41" si="21">LOG10(D39*100*E39/F39*1000)</f>
        <v>8.6241101320710367</v>
      </c>
      <c r="I39">
        <v>2</v>
      </c>
      <c r="J39">
        <f t="shared" ref="J38:J41" si="22">(D39*E39)/I39</f>
        <v>25250</v>
      </c>
      <c r="K39" s="5">
        <f>J39/dose!$O$17</f>
        <v>8679.6875</v>
      </c>
      <c r="M39" s="111">
        <f t="shared" ref="M39:M40" si="23">I39/(D39*E39)</f>
        <v>3.9603960396039605E-5</v>
      </c>
      <c r="N39" s="115">
        <f>M39/dose!$P$17</f>
        <v>1.1521152115211522E-4</v>
      </c>
    </row>
    <row r="40" spans="1:14" x14ac:dyDescent="0.2">
      <c r="A40" s="4" t="s">
        <v>13</v>
      </c>
      <c r="B40">
        <v>48</v>
      </c>
      <c r="D40">
        <f t="shared" si="20"/>
        <v>48</v>
      </c>
      <c r="E40" s="4">
        <v>1000</v>
      </c>
      <c r="F40" s="4">
        <f>1744.5-1718.8</f>
        <v>25.700000000000045</v>
      </c>
      <c r="G40" s="10">
        <f t="shared" si="21"/>
        <v>8.2713081140442917</v>
      </c>
      <c r="H40" s="3">
        <v>9</v>
      </c>
      <c r="I40">
        <f t="shared" ref="I40:I41" si="24">H40/10</f>
        <v>0.9</v>
      </c>
      <c r="J40">
        <f t="shared" si="22"/>
        <v>53333.333333333328</v>
      </c>
      <c r="K40" s="5">
        <f>J40/dose!$O$17</f>
        <v>18333.333333333332</v>
      </c>
      <c r="M40" s="111">
        <f t="shared" si="23"/>
        <v>1.8750000000000002E-5</v>
      </c>
      <c r="N40" s="115">
        <f>M40/dose!$P$17</f>
        <v>5.4545454545454553E-5</v>
      </c>
    </row>
    <row r="41" spans="1:14" ht="17" x14ac:dyDescent="0.2">
      <c r="A41" s="6" t="s">
        <v>12</v>
      </c>
      <c r="B41" s="8">
        <v>44</v>
      </c>
      <c r="C41" s="8"/>
      <c r="D41">
        <f t="shared" si="20"/>
        <v>44</v>
      </c>
      <c r="E41" s="6">
        <v>100</v>
      </c>
      <c r="F41" s="6">
        <f>1657.5-1622.8</f>
        <v>34.700000000000045</v>
      </c>
      <c r="G41" s="10">
        <f t="shared" si="21"/>
        <v>7.103123201695313</v>
      </c>
      <c r="H41" s="3">
        <v>0</v>
      </c>
      <c r="I41">
        <f t="shared" si="24"/>
        <v>0</v>
      </c>
      <c r="J41" t="e">
        <f t="shared" si="22"/>
        <v>#DIV/0!</v>
      </c>
      <c r="K41" s="5" t="e">
        <f>J41/dose!$O$17</f>
        <v>#DIV/0!</v>
      </c>
      <c r="M41" s="111">
        <f>I41/(D41*E41)</f>
        <v>0</v>
      </c>
      <c r="N41" s="115">
        <f>M41/dose!$P$17</f>
        <v>0</v>
      </c>
    </row>
    <row r="42" spans="1:14" x14ac:dyDescent="0.2">
      <c r="A42" s="4"/>
      <c r="E42" s="4"/>
      <c r="F42" s="4"/>
      <c r="G42" s="10"/>
    </row>
    <row r="43" spans="1:14" ht="51" x14ac:dyDescent="0.2">
      <c r="A43" s="2" t="s">
        <v>34</v>
      </c>
      <c r="B43" s="103" t="s">
        <v>23</v>
      </c>
      <c r="C43" s="103"/>
      <c r="D43" s="6" t="s">
        <v>0</v>
      </c>
      <c r="E43" s="6" t="s">
        <v>3</v>
      </c>
      <c r="F43" s="6" t="s">
        <v>1</v>
      </c>
      <c r="G43" s="9" t="s">
        <v>2</v>
      </c>
      <c r="H43" s="48" t="s">
        <v>29</v>
      </c>
      <c r="I43" s="6" t="s">
        <v>25</v>
      </c>
      <c r="J43" s="6" t="s">
        <v>26</v>
      </c>
      <c r="K43" s="50" t="s">
        <v>27</v>
      </c>
    </row>
    <row r="44" spans="1:14" x14ac:dyDescent="0.2">
      <c r="A44" s="4" t="s">
        <v>10</v>
      </c>
      <c r="B44">
        <v>11</v>
      </c>
      <c r="C44">
        <v>13</v>
      </c>
      <c r="D44">
        <f>AVERAGE(B44:C44)</f>
        <v>12</v>
      </c>
      <c r="E44" s="4">
        <v>1000</v>
      </c>
      <c r="F44" s="4">
        <f>1728.1-1705</f>
        <v>23.099999999999909</v>
      </c>
      <c r="G44" s="10">
        <f>LOG10(D44*100*E44/F44*1000)</f>
        <v>7.715569266155482</v>
      </c>
      <c r="J44" t="e">
        <f>(D44*E44)/I44</f>
        <v>#DIV/0!</v>
      </c>
      <c r="K44" s="5" t="e">
        <f>J44/dose!$O$17</f>
        <v>#DIV/0!</v>
      </c>
    </row>
    <row r="45" spans="1:14" x14ac:dyDescent="0.2">
      <c r="A45" s="4" t="s">
        <v>11</v>
      </c>
      <c r="B45">
        <v>22</v>
      </c>
      <c r="C45">
        <v>11</v>
      </c>
      <c r="D45">
        <f>AVERAGE(B45:C45)</f>
        <v>16.5</v>
      </c>
      <c r="E45" s="4">
        <v>10000</v>
      </c>
      <c r="F45" s="4">
        <f>1799.1-1738.4</f>
        <v>60.699999999999818</v>
      </c>
      <c r="G45" s="10">
        <f>LOG10(D45*100*E45/F45*1000)</f>
        <v>8.4342952531386501</v>
      </c>
      <c r="I45">
        <v>47</v>
      </c>
      <c r="J45">
        <f t="shared" ref="J45:J48" si="25">(D45*E45)/I45</f>
        <v>3510.6382978723404</v>
      </c>
      <c r="K45" s="5">
        <f>J45/dose!$O$17</f>
        <v>1206.7819148936169</v>
      </c>
      <c r="M45" s="111">
        <f>I45/(D45*E45)</f>
        <v>2.8484848484848485E-4</v>
      </c>
      <c r="N45" s="115">
        <f>M45/dose!$P$17</f>
        <v>8.2865013774104687E-4</v>
      </c>
    </row>
    <row r="46" spans="1:14" x14ac:dyDescent="0.2">
      <c r="A46" s="4" t="s">
        <v>8</v>
      </c>
      <c r="B46">
        <v>42</v>
      </c>
      <c r="C46">
        <v>40</v>
      </c>
      <c r="D46">
        <f t="shared" ref="D46:D48" si="26">AVERAGE(B46:C46)</f>
        <v>41</v>
      </c>
      <c r="E46" s="4">
        <v>1000</v>
      </c>
      <c r="F46" s="4">
        <f>1750-1683.9</f>
        <v>66.099999999999909</v>
      </c>
      <c r="G46" s="10">
        <f t="shared" ref="G46:G48" si="27">LOG10(D46*100*E46/F46*1000)</f>
        <v>7.7925823972340957</v>
      </c>
      <c r="I46">
        <v>9</v>
      </c>
      <c r="J46">
        <f t="shared" si="25"/>
        <v>4555.5555555555557</v>
      </c>
      <c r="K46" s="5">
        <f>J46/dose!$O$17</f>
        <v>1565.9722222222222</v>
      </c>
      <c r="M46" s="111">
        <f t="shared" ref="M46:M47" si="28">I46/(D46*E46)</f>
        <v>2.1951219512195122E-4</v>
      </c>
      <c r="N46" s="115">
        <f>M46/dose!$P$17</f>
        <v>6.3858093126385816E-4</v>
      </c>
    </row>
    <row r="47" spans="1:14" x14ac:dyDescent="0.2">
      <c r="A47" s="4" t="s">
        <v>13</v>
      </c>
      <c r="B47">
        <v>30</v>
      </c>
      <c r="D47">
        <f t="shared" si="26"/>
        <v>30</v>
      </c>
      <c r="E47" s="4">
        <v>100</v>
      </c>
      <c r="F47" s="4">
        <f>1840-1630.6</f>
        <v>209.40000000000009</v>
      </c>
      <c r="G47" s="10">
        <f t="shared" si="27"/>
        <v>6.1561445773768391</v>
      </c>
      <c r="H47" s="3">
        <v>9</v>
      </c>
      <c r="I47">
        <f t="shared" ref="I47:I48" si="29">H47/10</f>
        <v>0.9</v>
      </c>
      <c r="J47">
        <f t="shared" si="25"/>
        <v>3333.333333333333</v>
      </c>
      <c r="K47" s="5">
        <f>J47/dose!$O$17</f>
        <v>1145.8333333333333</v>
      </c>
      <c r="M47" s="111">
        <f t="shared" si="28"/>
        <v>3.0000000000000003E-4</v>
      </c>
      <c r="N47" s="115">
        <f>M47/dose!$P$17</f>
        <v>8.7272727272727285E-4</v>
      </c>
    </row>
    <row r="48" spans="1:14" ht="17" x14ac:dyDescent="0.2">
      <c r="A48" s="6" t="s">
        <v>12</v>
      </c>
      <c r="B48" s="8">
        <v>2</v>
      </c>
      <c r="C48" s="8"/>
      <c r="D48">
        <f t="shared" si="26"/>
        <v>2</v>
      </c>
      <c r="E48" s="6">
        <v>1</v>
      </c>
      <c r="F48" s="6">
        <f>1862.7-1729.4</f>
        <v>133.29999999999995</v>
      </c>
      <c r="G48" s="10">
        <f t="shared" si="27"/>
        <v>3.176199846250122</v>
      </c>
      <c r="H48" s="3">
        <v>0</v>
      </c>
      <c r="I48">
        <f t="shared" si="29"/>
        <v>0</v>
      </c>
      <c r="J48" t="e">
        <f t="shared" si="25"/>
        <v>#DIV/0!</v>
      </c>
      <c r="K48" s="5" t="e">
        <f>J48/dose!$O$17</f>
        <v>#DIV/0!</v>
      </c>
      <c r="M48" s="111">
        <f>I48/(D48*E48)</f>
        <v>0</v>
      </c>
      <c r="N48" s="115">
        <f>M48/dose!$P$17</f>
        <v>0</v>
      </c>
    </row>
    <row r="49" spans="1:14" x14ac:dyDescent="0.2">
      <c r="A49" s="12"/>
      <c r="B49" s="103"/>
      <c r="C49" s="103"/>
      <c r="D49" s="6"/>
      <c r="E49" s="6"/>
      <c r="F49" s="6"/>
      <c r="G49" s="9"/>
    </row>
    <row r="50" spans="1:14" ht="51" x14ac:dyDescent="0.2">
      <c r="A50" s="2" t="s">
        <v>35</v>
      </c>
      <c r="B50" s="103" t="s">
        <v>23</v>
      </c>
      <c r="C50" s="103"/>
      <c r="D50" s="6" t="s">
        <v>0</v>
      </c>
      <c r="E50" s="6" t="s">
        <v>3</v>
      </c>
      <c r="F50" s="6" t="s">
        <v>1</v>
      </c>
      <c r="G50" s="9" t="s">
        <v>2</v>
      </c>
      <c r="H50" s="48" t="s">
        <v>29</v>
      </c>
      <c r="I50" s="6" t="s">
        <v>25</v>
      </c>
      <c r="J50" s="6" t="s">
        <v>26</v>
      </c>
      <c r="K50" s="50" t="s">
        <v>27</v>
      </c>
    </row>
    <row r="51" spans="1:14" x14ac:dyDescent="0.2">
      <c r="A51" s="4" t="s">
        <v>10</v>
      </c>
      <c r="B51">
        <v>3</v>
      </c>
      <c r="C51">
        <v>12</v>
      </c>
      <c r="D51">
        <f>AVERAGE(B51:C51)</f>
        <v>7.5</v>
      </c>
      <c r="E51" s="4">
        <v>10000</v>
      </c>
      <c r="F51" s="4">
        <f>1741.3-1729.4</f>
        <v>11.899999999999864</v>
      </c>
      <c r="G51" s="10">
        <f>LOG10(D51*100*E51/F51*1000)</f>
        <v>8.7995143019991744</v>
      </c>
      <c r="J51" t="e">
        <f>(D51*E51)/I51</f>
        <v>#DIV/0!</v>
      </c>
      <c r="K51" s="5" t="e">
        <f>J51/dose!$O$17</f>
        <v>#DIV/0!</v>
      </c>
    </row>
    <row r="52" spans="1:14" x14ac:dyDescent="0.2">
      <c r="A52" s="4" t="s">
        <v>11</v>
      </c>
      <c r="B52">
        <v>66</v>
      </c>
      <c r="C52">
        <v>62</v>
      </c>
      <c r="D52">
        <f t="shared" ref="D52:D55" si="30">AVERAGE(B52:C52)</f>
        <v>64</v>
      </c>
      <c r="E52" s="4">
        <v>1000</v>
      </c>
      <c r="F52" s="4">
        <f>1643.8-1625.6</f>
        <v>18.200000000000045</v>
      </c>
      <c r="G52" s="10">
        <f>LOG10(D52*100*E52/F52*1000)</f>
        <v>8.5461085859988106</v>
      </c>
      <c r="I52">
        <v>7</v>
      </c>
      <c r="J52">
        <f t="shared" ref="J52:J55" si="31">(D52*E52)/I52</f>
        <v>9142.8571428571431</v>
      </c>
      <c r="K52" s="5">
        <f>J52/dose!$O$17</f>
        <v>3142.8571428571427</v>
      </c>
      <c r="M52" s="111">
        <f>I52/(D52*E52)</f>
        <v>1.09375E-4</v>
      </c>
      <c r="N52" s="115">
        <f>M52/dose!$P$17</f>
        <v>3.181818181818182E-4</v>
      </c>
    </row>
    <row r="53" spans="1:14" x14ac:dyDescent="0.2">
      <c r="A53" s="4" t="s">
        <v>8</v>
      </c>
      <c r="B53">
        <v>41</v>
      </c>
      <c r="C53">
        <v>44</v>
      </c>
      <c r="D53">
        <f t="shared" si="30"/>
        <v>42.5</v>
      </c>
      <c r="E53" s="4">
        <v>10000</v>
      </c>
      <c r="F53" s="4">
        <f>1723.1-1684.6</f>
        <v>38.5</v>
      </c>
      <c r="G53" s="10">
        <f t="shared" ref="G53:G55" si="32">LOG10(D53*100*E53/F53*1000)</f>
        <v>9.0429282005418106</v>
      </c>
      <c r="I53">
        <v>6</v>
      </c>
      <c r="J53">
        <f t="shared" si="31"/>
        <v>70833.333333333328</v>
      </c>
      <c r="K53" s="5">
        <f>J53/dose!$O$17</f>
        <v>24348.958333333332</v>
      </c>
      <c r="M53" s="111">
        <f t="shared" ref="M53:M54" si="33">I53/(D53*E53)</f>
        <v>1.411764705882353E-5</v>
      </c>
      <c r="N53" s="115">
        <f>M53/dose!$P$17</f>
        <v>4.106951871657754E-5</v>
      </c>
    </row>
    <row r="54" spans="1:14" x14ac:dyDescent="0.2">
      <c r="A54" s="4" t="s">
        <v>13</v>
      </c>
      <c r="B54">
        <v>40</v>
      </c>
      <c r="D54">
        <f t="shared" si="30"/>
        <v>40</v>
      </c>
      <c r="E54" s="4">
        <v>10000</v>
      </c>
      <c r="F54" s="4">
        <f>1653-1625.3</f>
        <v>27.700000000000045</v>
      </c>
      <c r="G54" s="10">
        <f t="shared" si="32"/>
        <v>9.1595802222635125</v>
      </c>
      <c r="H54" s="3">
        <v>7</v>
      </c>
      <c r="I54">
        <f t="shared" ref="I54:I55" si="34">H54/10</f>
        <v>0.7</v>
      </c>
      <c r="J54">
        <f t="shared" si="31"/>
        <v>571428.57142857148</v>
      </c>
      <c r="K54" s="5">
        <f>J54/dose!$O$17</f>
        <v>196428.57142857145</v>
      </c>
      <c r="M54" s="111">
        <f t="shared" si="33"/>
        <v>1.75E-6</v>
      </c>
      <c r="N54" s="115">
        <f>M54/dose!$P$17</f>
        <v>5.0909090909090912E-6</v>
      </c>
    </row>
    <row r="55" spans="1:14" ht="17" x14ac:dyDescent="0.2">
      <c r="A55" s="6" t="s">
        <v>12</v>
      </c>
      <c r="B55" s="8">
        <v>27</v>
      </c>
      <c r="C55" s="8"/>
      <c r="D55">
        <f t="shared" si="30"/>
        <v>27</v>
      </c>
      <c r="E55" s="6">
        <v>10</v>
      </c>
      <c r="F55" s="6">
        <f>1753.7-1698</f>
        <v>55.700000000000045</v>
      </c>
      <c r="G55" s="10">
        <f t="shared" si="32"/>
        <v>5.6855085689852585</v>
      </c>
      <c r="H55" s="3">
        <v>0</v>
      </c>
      <c r="I55">
        <f t="shared" si="34"/>
        <v>0</v>
      </c>
      <c r="J55" t="e">
        <f t="shared" si="31"/>
        <v>#DIV/0!</v>
      </c>
      <c r="K55" s="5" t="e">
        <f>J55/dose!$O$17</f>
        <v>#DIV/0!</v>
      </c>
      <c r="M55" s="111">
        <f>I55/(D55*E55)</f>
        <v>0</v>
      </c>
      <c r="N55" s="115">
        <f>M55/dose!$P$17</f>
        <v>0</v>
      </c>
    </row>
    <row r="56" spans="1:14" x14ac:dyDescent="0.2">
      <c r="A56" s="4"/>
      <c r="E56" s="4"/>
      <c r="F56" s="4"/>
      <c r="G56" s="10"/>
    </row>
    <row r="57" spans="1:14" ht="51" x14ac:dyDescent="0.2">
      <c r="A57" s="2" t="s">
        <v>36</v>
      </c>
      <c r="B57" s="103" t="s">
        <v>23</v>
      </c>
      <c r="C57" s="103"/>
      <c r="D57" s="6" t="s">
        <v>0</v>
      </c>
      <c r="E57" s="6" t="s">
        <v>3</v>
      </c>
      <c r="F57" s="6" t="s">
        <v>1</v>
      </c>
      <c r="G57" s="9" t="s">
        <v>2</v>
      </c>
      <c r="H57" s="48" t="s">
        <v>29</v>
      </c>
      <c r="I57" s="6" t="s">
        <v>25</v>
      </c>
      <c r="J57" s="6" t="s">
        <v>26</v>
      </c>
      <c r="K57" s="50" t="s">
        <v>27</v>
      </c>
    </row>
    <row r="58" spans="1:14" x14ac:dyDescent="0.2">
      <c r="A58" s="4" t="s">
        <v>10</v>
      </c>
      <c r="B58">
        <v>9</v>
      </c>
      <c r="C58">
        <v>11</v>
      </c>
      <c r="D58">
        <f>AVERAGE(B58:C58)</f>
        <v>10</v>
      </c>
      <c r="E58" s="4">
        <v>10000</v>
      </c>
      <c r="F58" s="4">
        <f>1816.6-1789.2</f>
        <v>27.399999999999864</v>
      </c>
      <c r="G58" s="10">
        <f>LOG10(D58*100*E58/F58*1000)</f>
        <v>8.5622494371796147</v>
      </c>
      <c r="J58" t="e">
        <f>(D58*E58)/I58</f>
        <v>#DIV/0!</v>
      </c>
      <c r="K58" s="5" t="e">
        <f>J58/dose!$O$17</f>
        <v>#DIV/0!</v>
      </c>
    </row>
    <row r="59" spans="1:14" x14ac:dyDescent="0.2">
      <c r="A59" s="4" t="s">
        <v>11</v>
      </c>
      <c r="B59">
        <v>26</v>
      </c>
      <c r="C59">
        <v>19</v>
      </c>
      <c r="D59">
        <f t="shared" ref="D59:D62" si="35">AVERAGE(B59:C59)</f>
        <v>22.5</v>
      </c>
      <c r="E59" s="4">
        <v>1000</v>
      </c>
      <c r="F59" s="4">
        <f>1859.6-1818.6</f>
        <v>41</v>
      </c>
      <c r="G59" s="10">
        <f>LOG10(D59*100*E59/F59*1000)</f>
        <v>7.7393986613916272</v>
      </c>
      <c r="I59">
        <v>61</v>
      </c>
      <c r="J59">
        <f t="shared" ref="J59:J62" si="36">(D59*E59)/I59</f>
        <v>368.85245901639342</v>
      </c>
      <c r="K59" s="5">
        <f>J59/dose!$O$17</f>
        <v>126.79303278688523</v>
      </c>
      <c r="M59" s="111">
        <f>I59/(D59*E59)</f>
        <v>2.7111111111111112E-3</v>
      </c>
      <c r="N59" s="115">
        <f>M59/dose!$P$17</f>
        <v>7.8868686868686869E-3</v>
      </c>
    </row>
    <row r="60" spans="1:14" x14ac:dyDescent="0.2">
      <c r="A60" s="4" t="s">
        <v>8</v>
      </c>
      <c r="B60">
        <v>11</v>
      </c>
      <c r="C60">
        <v>13</v>
      </c>
      <c r="D60">
        <f t="shared" si="35"/>
        <v>12</v>
      </c>
      <c r="E60" s="4">
        <v>1000</v>
      </c>
      <c r="F60" s="4">
        <f>1831.6-1799.3</f>
        <v>32.299999999999955</v>
      </c>
      <c r="G60" s="10">
        <f t="shared" ref="G60:G62" si="37">LOG10(D60*100*E60/F60*1000)</f>
        <v>7.569978723716523</v>
      </c>
      <c r="I60">
        <v>31</v>
      </c>
      <c r="J60">
        <f t="shared" si="36"/>
        <v>387.09677419354841</v>
      </c>
      <c r="K60" s="5">
        <f>J60/dose!$O$17</f>
        <v>133.06451612903226</v>
      </c>
      <c r="M60" s="111">
        <f t="shared" ref="M60:M61" si="38">I60/(D60*E60)</f>
        <v>2.5833333333333333E-3</v>
      </c>
      <c r="N60" s="115">
        <f>M60/dose!$P$17</f>
        <v>7.5151515151515155E-3</v>
      </c>
    </row>
    <row r="61" spans="1:14" x14ac:dyDescent="0.2">
      <c r="A61" s="4" t="s">
        <v>13</v>
      </c>
      <c r="B61">
        <v>21</v>
      </c>
      <c r="D61">
        <f t="shared" si="35"/>
        <v>21</v>
      </c>
      <c r="E61" s="4">
        <v>1000</v>
      </c>
      <c r="F61" s="4">
        <f>1867.1-1750.1</f>
        <v>117</v>
      </c>
      <c r="G61" s="10">
        <f t="shared" si="37"/>
        <v>7.2540334329877574</v>
      </c>
      <c r="H61" s="3">
        <v>108</v>
      </c>
      <c r="I61">
        <f t="shared" ref="I61:I62" si="39">H61/10</f>
        <v>10.8</v>
      </c>
      <c r="J61">
        <f t="shared" si="36"/>
        <v>1944.4444444444443</v>
      </c>
      <c r="K61" s="5">
        <f>J61/dose!$O$17</f>
        <v>668.40277777777771</v>
      </c>
      <c r="M61" s="111">
        <f t="shared" si="38"/>
        <v>5.142857142857143E-4</v>
      </c>
      <c r="N61" s="115">
        <f>M61/dose!$P$17</f>
        <v>1.4961038961038961E-3</v>
      </c>
    </row>
    <row r="62" spans="1:14" ht="17" x14ac:dyDescent="0.2">
      <c r="A62" s="6" t="s">
        <v>12</v>
      </c>
      <c r="B62" s="8">
        <v>13</v>
      </c>
      <c r="C62" s="8"/>
      <c r="D62">
        <f t="shared" si="35"/>
        <v>13</v>
      </c>
      <c r="E62" s="6">
        <v>10</v>
      </c>
      <c r="F62" s="6">
        <f>1810.1-1688.8</f>
        <v>121.29999999999995</v>
      </c>
      <c r="G62" s="10">
        <f t="shared" si="37"/>
        <v>5.0300825514402643</v>
      </c>
      <c r="H62" s="3">
        <v>0</v>
      </c>
      <c r="I62">
        <f t="shared" si="39"/>
        <v>0</v>
      </c>
      <c r="J62" t="e">
        <f t="shared" si="36"/>
        <v>#DIV/0!</v>
      </c>
      <c r="K62" s="5" t="e">
        <f>J62/dose!$O$17</f>
        <v>#DIV/0!</v>
      </c>
      <c r="M62" s="111">
        <f>I62/(D62*E62)</f>
        <v>0</v>
      </c>
      <c r="N62" s="115">
        <f>M62/dose!$P$17</f>
        <v>0</v>
      </c>
    </row>
    <row r="63" spans="1:14" x14ac:dyDescent="0.2">
      <c r="A63" s="4"/>
      <c r="E63" s="4"/>
      <c r="F63" s="4"/>
      <c r="G63" s="10"/>
    </row>
    <row r="64" spans="1:14" ht="51" x14ac:dyDescent="0.2">
      <c r="A64" s="2" t="s">
        <v>37</v>
      </c>
      <c r="B64" s="103" t="s">
        <v>23</v>
      </c>
      <c r="C64" s="103"/>
      <c r="D64" s="6" t="s">
        <v>0</v>
      </c>
      <c r="E64" s="6" t="s">
        <v>3</v>
      </c>
      <c r="F64" s="6" t="s">
        <v>1</v>
      </c>
      <c r="G64" s="9" t="s">
        <v>2</v>
      </c>
      <c r="H64" s="48" t="s">
        <v>29</v>
      </c>
      <c r="I64" s="6" t="s">
        <v>25</v>
      </c>
      <c r="J64" s="6" t="s">
        <v>26</v>
      </c>
      <c r="K64" s="50" t="s">
        <v>27</v>
      </c>
    </row>
    <row r="65" spans="1:14" x14ac:dyDescent="0.2">
      <c r="A65" s="4" t="s">
        <v>10</v>
      </c>
      <c r="B65">
        <v>14</v>
      </c>
      <c r="C65">
        <v>15</v>
      </c>
      <c r="D65">
        <f>AVERAGE(B65:C65)</f>
        <v>14.5</v>
      </c>
      <c r="E65" s="4">
        <v>1000</v>
      </c>
      <c r="F65" s="4">
        <f>1806.3-1791.5</f>
        <v>14.799999999999955</v>
      </c>
      <c r="G65" s="10">
        <f>LOG10(D65*100*E65/F65*1000)</f>
        <v>7.9911062868400187</v>
      </c>
      <c r="J65" t="e">
        <f>(D65*E65)/I65</f>
        <v>#DIV/0!</v>
      </c>
      <c r="K65" s="5" t="e">
        <f>J65/dose!$O$17</f>
        <v>#DIV/0!</v>
      </c>
    </row>
    <row r="66" spans="1:14" x14ac:dyDescent="0.2">
      <c r="A66" s="4" t="s">
        <v>11</v>
      </c>
      <c r="B66">
        <v>31</v>
      </c>
      <c r="C66">
        <v>26</v>
      </c>
      <c r="D66">
        <f t="shared" ref="D66:D69" si="40">AVERAGE(B66:C66)</f>
        <v>28.5</v>
      </c>
      <c r="E66" s="4">
        <v>1000</v>
      </c>
      <c r="F66" s="4">
        <f>1742.8-1730.7</f>
        <v>12.099999999999909</v>
      </c>
      <c r="G66" s="10">
        <f>LOG10(D66*100*E66/F66*1000)</f>
        <v>8.372059489692063</v>
      </c>
      <c r="I66">
        <v>0</v>
      </c>
      <c r="J66" t="e">
        <f t="shared" ref="J66:J69" si="41">(D66*E66)/I66</f>
        <v>#DIV/0!</v>
      </c>
      <c r="K66" s="5" t="e">
        <f>J66/dose!$O$17</f>
        <v>#DIV/0!</v>
      </c>
      <c r="M66" s="111">
        <f>I66/(D66*E66)</f>
        <v>0</v>
      </c>
      <c r="N66" s="115">
        <f>M66/dose!$P$17</f>
        <v>0</v>
      </c>
    </row>
    <row r="67" spans="1:14" x14ac:dyDescent="0.2">
      <c r="A67" s="4" t="s">
        <v>8</v>
      </c>
      <c r="B67">
        <v>53</v>
      </c>
      <c r="C67">
        <v>59</v>
      </c>
      <c r="D67">
        <f t="shared" si="40"/>
        <v>56</v>
      </c>
      <c r="E67" s="4">
        <v>1000</v>
      </c>
      <c r="F67" s="4">
        <f>1792.8-1778.6</f>
        <v>14.200000000000045</v>
      </c>
      <c r="G67" s="10">
        <f t="shared" ref="G67:G69" si="42">LOG10(D67*100*E67/F67*1000)</f>
        <v>8.5958996826231431</v>
      </c>
      <c r="I67">
        <v>1</v>
      </c>
      <c r="J67">
        <f t="shared" si="41"/>
        <v>56000</v>
      </c>
      <c r="K67" s="5">
        <f>J67/dose!$O$17</f>
        <v>19250</v>
      </c>
      <c r="M67" s="111">
        <f t="shared" ref="M67:M68" si="43">I67/(D67*E67)</f>
        <v>1.7857142857142858E-5</v>
      </c>
      <c r="N67" s="115">
        <f>M67/dose!$P$17</f>
        <v>5.1948051948051951E-5</v>
      </c>
    </row>
    <row r="68" spans="1:14" x14ac:dyDescent="0.2">
      <c r="A68" s="4" t="s">
        <v>13</v>
      </c>
      <c r="B68">
        <v>10</v>
      </c>
      <c r="D68">
        <f t="shared" si="40"/>
        <v>10</v>
      </c>
      <c r="E68" s="4">
        <v>10000</v>
      </c>
      <c r="F68" s="4">
        <f>1781.8-1686</f>
        <v>95.799999999999955</v>
      </c>
      <c r="G68" s="10">
        <f t="shared" si="42"/>
        <v>8.0186344909214551</v>
      </c>
      <c r="H68" s="3">
        <v>0</v>
      </c>
      <c r="I68">
        <f t="shared" ref="I68:I69" si="44">H68/10</f>
        <v>0</v>
      </c>
      <c r="J68" t="e">
        <f t="shared" si="41"/>
        <v>#DIV/0!</v>
      </c>
      <c r="K68" s="5" t="e">
        <f>J68/dose!$O$17</f>
        <v>#DIV/0!</v>
      </c>
      <c r="M68" s="111">
        <f t="shared" si="43"/>
        <v>0</v>
      </c>
      <c r="N68" s="115">
        <f>M68/dose!$P$17</f>
        <v>0</v>
      </c>
    </row>
    <row r="69" spans="1:14" ht="17" x14ac:dyDescent="0.2">
      <c r="A69" s="6" t="s">
        <v>12</v>
      </c>
      <c r="B69" s="8">
        <v>26</v>
      </c>
      <c r="C69" s="8"/>
      <c r="D69">
        <f t="shared" si="40"/>
        <v>26</v>
      </c>
      <c r="E69" s="6">
        <v>10</v>
      </c>
      <c r="F69" s="6">
        <f>1892.7-1680.7</f>
        <v>212</v>
      </c>
      <c r="G69" s="10">
        <f t="shared" si="42"/>
        <v>5.0886374870420665</v>
      </c>
      <c r="H69" s="3">
        <v>0</v>
      </c>
      <c r="I69">
        <f t="shared" si="44"/>
        <v>0</v>
      </c>
      <c r="J69" t="e">
        <f t="shared" si="41"/>
        <v>#DIV/0!</v>
      </c>
      <c r="K69" s="5" t="e">
        <f>J69/dose!$O$17</f>
        <v>#DIV/0!</v>
      </c>
      <c r="M69" s="111">
        <f>I69/(D69*E69)</f>
        <v>0</v>
      </c>
      <c r="N69" s="115">
        <f>M69/dose!$P$17</f>
        <v>0</v>
      </c>
    </row>
    <row r="70" spans="1:14" s="29" customFormat="1" x14ac:dyDescent="0.2">
      <c r="A70" s="28"/>
      <c r="E70" s="28"/>
      <c r="F70" s="28"/>
      <c r="G70" s="30"/>
      <c r="H70" s="49"/>
      <c r="K70" s="51"/>
      <c r="N70" s="113"/>
    </row>
    <row r="71" spans="1:14" x14ac:dyDescent="0.2">
      <c r="A71" s="2"/>
      <c r="B71" s="8"/>
      <c r="C71" s="8"/>
      <c r="D71" s="6"/>
      <c r="E71" s="6"/>
      <c r="F71" s="6"/>
      <c r="G71" s="9"/>
    </row>
    <row r="72" spans="1:14" x14ac:dyDescent="0.2">
      <c r="A72" s="4"/>
      <c r="E72" s="4"/>
      <c r="F72" s="4"/>
      <c r="G72" s="10"/>
    </row>
    <row r="73" spans="1:14" x14ac:dyDescent="0.2">
      <c r="A73" s="4"/>
      <c r="E73" s="4"/>
      <c r="F73" s="4"/>
      <c r="G73" s="10"/>
    </row>
    <row r="74" spans="1:14" x14ac:dyDescent="0.2">
      <c r="A74" s="4"/>
      <c r="E74" s="4"/>
      <c r="F74" s="4"/>
      <c r="G74" s="10"/>
    </row>
    <row r="75" spans="1:14" x14ac:dyDescent="0.2">
      <c r="A75" s="4"/>
      <c r="E75" s="4"/>
      <c r="F75" s="4"/>
      <c r="G75" s="10"/>
    </row>
    <row r="76" spans="1:14" x14ac:dyDescent="0.2">
      <c r="A76" s="6"/>
      <c r="B76" s="8"/>
      <c r="C76" s="8"/>
      <c r="E76" s="6"/>
      <c r="F76" s="6"/>
      <c r="G76" s="10"/>
    </row>
    <row r="77" spans="1:14" x14ac:dyDescent="0.2">
      <c r="A77" s="12"/>
      <c r="B77" s="8"/>
      <c r="C77" s="8"/>
      <c r="D77" s="6"/>
      <c r="E77" s="6"/>
      <c r="F77" s="6"/>
      <c r="G77" s="9"/>
    </row>
    <row r="78" spans="1:14" x14ac:dyDescent="0.2">
      <c r="A78" s="2"/>
      <c r="B78" s="8"/>
      <c r="C78" s="8"/>
      <c r="D78" s="6"/>
      <c r="E78" s="6"/>
      <c r="F78" s="6"/>
      <c r="G78" s="9"/>
    </row>
    <row r="79" spans="1:14" x14ac:dyDescent="0.2">
      <c r="A79" s="4"/>
      <c r="E79" s="4"/>
      <c r="F79" s="4"/>
      <c r="G79" s="10"/>
    </row>
    <row r="80" spans="1:14" x14ac:dyDescent="0.2">
      <c r="A80" s="4"/>
      <c r="E80" s="4"/>
      <c r="F80" s="4"/>
      <c r="G80" s="10"/>
    </row>
    <row r="81" spans="1:7" x14ac:dyDescent="0.2">
      <c r="A81" s="4"/>
      <c r="E81" s="4"/>
      <c r="F81" s="4"/>
      <c r="G81" s="10"/>
    </row>
    <row r="82" spans="1:7" x14ac:dyDescent="0.2">
      <c r="A82" s="4"/>
      <c r="E82" s="4"/>
      <c r="F82" s="4"/>
      <c r="G82" s="10"/>
    </row>
    <row r="83" spans="1:7" x14ac:dyDescent="0.2">
      <c r="A83" s="6"/>
      <c r="B83" s="8"/>
      <c r="C83" s="8"/>
      <c r="E83" s="6"/>
      <c r="F83" s="6"/>
      <c r="G83" s="10"/>
    </row>
    <row r="84" spans="1:7" x14ac:dyDescent="0.2">
      <c r="A84" s="4"/>
      <c r="E84" s="4"/>
      <c r="F84" s="4"/>
      <c r="G84" s="10"/>
    </row>
    <row r="85" spans="1:7" x14ac:dyDescent="0.2">
      <c r="A85" s="2"/>
      <c r="B85" s="8"/>
      <c r="C85" s="8"/>
      <c r="D85" s="6"/>
      <c r="E85" s="6"/>
      <c r="F85" s="6"/>
      <c r="G85" s="9"/>
    </row>
    <row r="86" spans="1:7" x14ac:dyDescent="0.2">
      <c r="A86" s="4"/>
      <c r="E86" s="4"/>
      <c r="F86" s="4"/>
      <c r="G86" s="10"/>
    </row>
    <row r="87" spans="1:7" x14ac:dyDescent="0.2">
      <c r="A87" s="4"/>
      <c r="E87" s="4"/>
      <c r="F87" s="4"/>
      <c r="G87" s="10"/>
    </row>
    <row r="88" spans="1:7" x14ac:dyDescent="0.2">
      <c r="A88" s="4"/>
      <c r="E88" s="4"/>
      <c r="F88" s="4"/>
      <c r="G88" s="10"/>
    </row>
    <row r="89" spans="1:7" x14ac:dyDescent="0.2">
      <c r="A89" s="4"/>
      <c r="E89" s="4"/>
      <c r="F89" s="4"/>
      <c r="G89" s="10"/>
    </row>
    <row r="90" spans="1:7" x14ac:dyDescent="0.2">
      <c r="A90" s="6"/>
      <c r="B90" s="8"/>
      <c r="C90" s="8"/>
      <c r="E90" s="6"/>
      <c r="F90" s="6"/>
      <c r="G90" s="10"/>
    </row>
    <row r="91" spans="1:7" x14ac:dyDescent="0.2">
      <c r="A91" s="4"/>
      <c r="E91" s="4"/>
      <c r="F91" s="4"/>
      <c r="G91" s="10"/>
    </row>
    <row r="92" spans="1:7" x14ac:dyDescent="0.2">
      <c r="A92" s="2"/>
      <c r="B92" s="8"/>
      <c r="C92" s="8"/>
      <c r="D92" s="6"/>
      <c r="E92" s="6"/>
      <c r="F92" s="6"/>
      <c r="G92" s="9"/>
    </row>
    <row r="93" spans="1:7" x14ac:dyDescent="0.2">
      <c r="A93" s="4"/>
      <c r="E93" s="4"/>
      <c r="F93" s="4"/>
      <c r="G93" s="10"/>
    </row>
    <row r="94" spans="1:7" x14ac:dyDescent="0.2">
      <c r="A94" s="4"/>
      <c r="E94" s="4"/>
      <c r="F94" s="4"/>
      <c r="G94" s="10"/>
    </row>
    <row r="95" spans="1:7" x14ac:dyDescent="0.2">
      <c r="A95" s="4"/>
      <c r="E95" s="4"/>
      <c r="F95" s="4"/>
      <c r="G95" s="10"/>
    </row>
    <row r="96" spans="1:7" x14ac:dyDescent="0.2">
      <c r="A96" s="4"/>
      <c r="E96" s="4"/>
      <c r="F96" s="4"/>
      <c r="G96" s="10"/>
    </row>
    <row r="97" spans="1:8" x14ac:dyDescent="0.2">
      <c r="A97" s="6"/>
      <c r="B97" s="8"/>
      <c r="C97" s="8"/>
      <c r="E97" s="6"/>
      <c r="F97" s="6"/>
      <c r="G97" s="10"/>
      <c r="H97" s="48"/>
    </row>
    <row r="98" spans="1:8" x14ac:dyDescent="0.2">
      <c r="A98" s="4"/>
      <c r="E98" s="4"/>
      <c r="F98" s="4"/>
      <c r="G98" s="10"/>
    </row>
    <row r="99" spans="1:8" x14ac:dyDescent="0.2">
      <c r="A99" s="2"/>
      <c r="B99" s="8"/>
      <c r="C99" s="8"/>
      <c r="D99" s="6"/>
      <c r="E99" s="6"/>
      <c r="F99" s="6"/>
      <c r="G99" s="9"/>
    </row>
    <row r="100" spans="1:8" x14ac:dyDescent="0.2">
      <c r="A100" s="4"/>
      <c r="E100" s="4"/>
      <c r="F100" s="4"/>
      <c r="G100" s="10"/>
    </row>
    <row r="101" spans="1:8" x14ac:dyDescent="0.2">
      <c r="A101" s="4"/>
      <c r="E101" s="4"/>
      <c r="F101" s="4"/>
      <c r="G101" s="10"/>
    </row>
    <row r="102" spans="1:8" x14ac:dyDescent="0.2">
      <c r="A102" s="4"/>
      <c r="E102" s="4"/>
      <c r="F102" s="4"/>
      <c r="G102" s="10"/>
    </row>
    <row r="103" spans="1:8" x14ac:dyDescent="0.2">
      <c r="A103" s="4"/>
      <c r="E103" s="4"/>
      <c r="F103" s="4"/>
      <c r="G103" s="10"/>
    </row>
    <row r="104" spans="1:8" x14ac:dyDescent="0.2">
      <c r="A104" s="6"/>
      <c r="B104" s="8"/>
      <c r="C104" s="8"/>
      <c r="E104" s="6"/>
      <c r="F104" s="6"/>
      <c r="G104" s="10"/>
    </row>
    <row r="105" spans="1:8" x14ac:dyDescent="0.2">
      <c r="A105" s="12"/>
      <c r="B105" s="8"/>
      <c r="C105" s="8"/>
      <c r="D105" s="6"/>
      <c r="E105" s="6"/>
      <c r="F105" s="6"/>
      <c r="G105" s="9"/>
    </row>
    <row r="106" spans="1:8" x14ac:dyDescent="0.2">
      <c r="A106" s="2"/>
      <c r="B106" s="8"/>
      <c r="C106" s="8"/>
      <c r="D106" s="6"/>
      <c r="E106" s="6"/>
      <c r="F106" s="6"/>
      <c r="G106" s="9"/>
    </row>
    <row r="107" spans="1:8" x14ac:dyDescent="0.2">
      <c r="A107" s="4"/>
      <c r="E107" s="4"/>
      <c r="F107" s="4"/>
      <c r="G107" s="10"/>
    </row>
    <row r="108" spans="1:8" x14ac:dyDescent="0.2">
      <c r="A108" s="4"/>
      <c r="E108" s="4"/>
      <c r="F108" s="4"/>
      <c r="G108" s="10"/>
    </row>
    <row r="109" spans="1:8" x14ac:dyDescent="0.2">
      <c r="A109" s="4"/>
      <c r="E109" s="4"/>
      <c r="F109" s="4"/>
      <c r="G109" s="10"/>
    </row>
    <row r="110" spans="1:8" x14ac:dyDescent="0.2">
      <c r="A110" s="4"/>
      <c r="E110" s="4"/>
      <c r="F110" s="4"/>
      <c r="G110" s="10"/>
    </row>
    <row r="111" spans="1:8" x14ac:dyDescent="0.2">
      <c r="A111" s="6"/>
      <c r="B111" s="8"/>
      <c r="C111" s="8"/>
      <c r="E111" s="6"/>
      <c r="F111" s="6"/>
      <c r="G111" s="10"/>
    </row>
    <row r="112" spans="1:8" x14ac:dyDescent="0.2">
      <c r="A112" s="12"/>
      <c r="B112" s="8"/>
      <c r="C112" s="8"/>
      <c r="D112" s="6"/>
      <c r="E112" s="6"/>
      <c r="F112" s="6"/>
      <c r="G112" s="9"/>
    </row>
    <row r="113" spans="1:7" x14ac:dyDescent="0.2">
      <c r="A113" s="2"/>
      <c r="B113" s="8"/>
      <c r="C113" s="8"/>
      <c r="D113" s="6"/>
      <c r="E113" s="6"/>
      <c r="F113" s="6"/>
      <c r="G113" s="9"/>
    </row>
    <row r="114" spans="1:7" x14ac:dyDescent="0.2">
      <c r="A114" s="4"/>
      <c r="E114" s="4"/>
      <c r="F114" s="4"/>
      <c r="G114" s="10"/>
    </row>
    <row r="115" spans="1:7" x14ac:dyDescent="0.2">
      <c r="A115" s="4"/>
      <c r="E115" s="4"/>
      <c r="F115" s="4"/>
      <c r="G115" s="10"/>
    </row>
    <row r="116" spans="1:7" x14ac:dyDescent="0.2">
      <c r="A116" s="4"/>
      <c r="E116" s="4"/>
      <c r="F116" s="4"/>
      <c r="G116" s="10"/>
    </row>
    <row r="117" spans="1:7" x14ac:dyDescent="0.2">
      <c r="A117" s="4"/>
      <c r="E117" s="4"/>
      <c r="F117" s="4"/>
      <c r="G117" s="10"/>
    </row>
    <row r="118" spans="1:7" x14ac:dyDescent="0.2">
      <c r="A118" s="6"/>
      <c r="B118" s="8"/>
      <c r="C118" s="8"/>
      <c r="E118" s="6"/>
      <c r="F118" s="6"/>
      <c r="G118" s="10"/>
    </row>
    <row r="119" spans="1:7" x14ac:dyDescent="0.2">
      <c r="A119" s="4"/>
      <c r="E119" s="4"/>
      <c r="F119" s="4"/>
      <c r="G119" s="10"/>
    </row>
    <row r="120" spans="1:7" x14ac:dyDescent="0.2">
      <c r="A120" s="2"/>
      <c r="B120" s="8"/>
      <c r="C120" s="8"/>
      <c r="D120" s="6"/>
      <c r="E120" s="6"/>
      <c r="F120" s="6"/>
      <c r="G120" s="9"/>
    </row>
    <row r="121" spans="1:7" x14ac:dyDescent="0.2">
      <c r="A121" s="4"/>
      <c r="E121" s="4"/>
      <c r="F121" s="4"/>
      <c r="G121" s="10"/>
    </row>
    <row r="122" spans="1:7" x14ac:dyDescent="0.2">
      <c r="A122" s="4"/>
      <c r="E122" s="4"/>
      <c r="F122" s="4"/>
      <c r="G122" s="10"/>
    </row>
    <row r="123" spans="1:7" x14ac:dyDescent="0.2">
      <c r="A123" s="4"/>
      <c r="E123" s="4"/>
      <c r="F123" s="4"/>
      <c r="G123" s="10"/>
    </row>
    <row r="124" spans="1:7" x14ac:dyDescent="0.2">
      <c r="A124" s="4"/>
      <c r="E124" s="4"/>
      <c r="F124" s="4"/>
      <c r="G124" s="10"/>
    </row>
    <row r="125" spans="1:7" x14ac:dyDescent="0.2">
      <c r="A125" s="6"/>
      <c r="B125" s="8"/>
      <c r="C125" s="8"/>
      <c r="E125" s="6"/>
      <c r="F125" s="6"/>
      <c r="G125" s="10"/>
    </row>
    <row r="126" spans="1:7" x14ac:dyDescent="0.2">
      <c r="A126" s="4"/>
      <c r="E126" s="4"/>
      <c r="F126" s="4"/>
      <c r="G126" s="10"/>
    </row>
    <row r="127" spans="1:7" x14ac:dyDescent="0.2">
      <c r="A127" s="2"/>
      <c r="B127" s="8"/>
      <c r="C127" s="8"/>
      <c r="D127" s="6"/>
      <c r="E127" s="6"/>
      <c r="F127" s="6"/>
      <c r="G127" s="9"/>
    </row>
    <row r="128" spans="1:7" x14ac:dyDescent="0.2">
      <c r="A128" s="4"/>
      <c r="E128" s="4"/>
      <c r="F128" s="4"/>
      <c r="G128" s="10"/>
    </row>
    <row r="129" spans="1:14" x14ac:dyDescent="0.2">
      <c r="A129" s="4"/>
      <c r="E129" s="4"/>
      <c r="F129" s="4"/>
      <c r="G129" s="10"/>
    </row>
    <row r="130" spans="1:14" ht="20" customHeight="1" x14ac:dyDescent="0.2">
      <c r="A130" s="4"/>
      <c r="E130" s="4"/>
      <c r="F130" s="4"/>
      <c r="G130" s="10"/>
      <c r="H130" s="48"/>
    </row>
    <row r="131" spans="1:14" x14ac:dyDescent="0.2">
      <c r="A131" s="4"/>
      <c r="E131" s="4"/>
      <c r="F131" s="4"/>
      <c r="G131" s="10"/>
    </row>
    <row r="132" spans="1:14" x14ac:dyDescent="0.2">
      <c r="A132" s="6"/>
      <c r="B132" s="8"/>
      <c r="C132" s="8"/>
      <c r="E132" s="6"/>
      <c r="F132" s="6"/>
      <c r="G132" s="10"/>
    </row>
    <row r="133" spans="1:14" x14ac:dyDescent="0.2">
      <c r="A133" s="4"/>
      <c r="E133" s="4"/>
      <c r="F133" s="4"/>
      <c r="G133" s="10"/>
    </row>
    <row r="134" spans="1:14" x14ac:dyDescent="0.2">
      <c r="A134" s="2"/>
      <c r="B134" s="8"/>
      <c r="C134" s="8"/>
      <c r="D134" s="6"/>
      <c r="E134" s="6"/>
      <c r="F134" s="6"/>
      <c r="G134" s="9"/>
    </row>
    <row r="135" spans="1:14" x14ac:dyDescent="0.2">
      <c r="A135" s="4"/>
      <c r="E135" s="4"/>
      <c r="F135" s="4"/>
      <c r="G135" s="10"/>
    </row>
    <row r="136" spans="1:14" x14ac:dyDescent="0.2">
      <c r="A136" s="4"/>
      <c r="E136" s="4"/>
      <c r="F136" s="4"/>
      <c r="G136" s="10"/>
    </row>
    <row r="137" spans="1:14" x14ac:dyDescent="0.2">
      <c r="A137" s="4"/>
      <c r="E137" s="4"/>
      <c r="F137" s="4"/>
      <c r="G137" s="10"/>
    </row>
    <row r="138" spans="1:14" x14ac:dyDescent="0.2">
      <c r="A138" s="4"/>
      <c r="E138" s="4"/>
      <c r="F138" s="4"/>
      <c r="G138" s="10"/>
    </row>
    <row r="139" spans="1:14" x14ac:dyDescent="0.2">
      <c r="A139" s="6"/>
      <c r="B139" s="8"/>
      <c r="C139" s="8"/>
      <c r="E139" s="6"/>
      <c r="F139" s="6"/>
      <c r="G139" s="10"/>
    </row>
    <row r="140" spans="1:14" s="29" customFormat="1" x14ac:dyDescent="0.2">
      <c r="A140" s="31"/>
      <c r="B140" s="32"/>
      <c r="C140" s="32"/>
      <c r="E140" s="31"/>
      <c r="F140" s="31"/>
      <c r="G140" s="30"/>
      <c r="H140" s="49"/>
      <c r="K140" s="51"/>
      <c r="N140" s="113"/>
    </row>
    <row r="141" spans="1:14" x14ac:dyDescent="0.2">
      <c r="A141" s="2"/>
      <c r="B141" s="8"/>
      <c r="C141" s="8"/>
      <c r="D141" s="6"/>
      <c r="E141" s="6"/>
      <c r="F141" s="6"/>
      <c r="G141" s="9"/>
    </row>
    <row r="142" spans="1:14" x14ac:dyDescent="0.2">
      <c r="A142" s="4"/>
      <c r="E142" s="4"/>
      <c r="F142" s="4"/>
      <c r="G142" s="10"/>
    </row>
    <row r="143" spans="1:14" x14ac:dyDescent="0.2">
      <c r="A143" s="4"/>
      <c r="E143" s="4"/>
      <c r="F143" s="4"/>
      <c r="G143" s="10"/>
    </row>
    <row r="144" spans="1:14" x14ac:dyDescent="0.2">
      <c r="A144" s="4"/>
      <c r="E144" s="4"/>
      <c r="F144" s="4"/>
      <c r="G144" s="10"/>
    </row>
    <row r="145" spans="1:7" x14ac:dyDescent="0.2">
      <c r="A145" s="4"/>
      <c r="E145" s="4"/>
      <c r="F145" s="4"/>
      <c r="G145" s="10"/>
    </row>
    <row r="146" spans="1:7" x14ac:dyDescent="0.2">
      <c r="A146" s="6"/>
      <c r="B146" s="8"/>
      <c r="C146" s="8"/>
      <c r="E146" s="6"/>
      <c r="F146" s="6"/>
      <c r="G146" s="10"/>
    </row>
    <row r="147" spans="1:7" x14ac:dyDescent="0.2">
      <c r="A147" s="4"/>
      <c r="E147" s="4"/>
      <c r="F147" s="4"/>
      <c r="G147" s="10"/>
    </row>
    <row r="148" spans="1:7" x14ac:dyDescent="0.2">
      <c r="A148" s="2"/>
      <c r="B148" s="8"/>
      <c r="C148" s="8"/>
      <c r="D148" s="6"/>
      <c r="E148" s="6"/>
      <c r="F148" s="6"/>
      <c r="G148" s="9"/>
    </row>
    <row r="149" spans="1:7" x14ac:dyDescent="0.2">
      <c r="A149" s="4"/>
      <c r="E149" s="4"/>
      <c r="F149" s="4"/>
      <c r="G149" s="10"/>
    </row>
    <row r="150" spans="1:7" x14ac:dyDescent="0.2">
      <c r="A150" s="4"/>
      <c r="E150" s="4"/>
      <c r="F150" s="4"/>
      <c r="G150" s="10"/>
    </row>
    <row r="151" spans="1:7" x14ac:dyDescent="0.2">
      <c r="A151" s="4"/>
      <c r="E151" s="4"/>
      <c r="F151" s="4"/>
      <c r="G151" s="10"/>
    </row>
    <row r="152" spans="1:7" x14ac:dyDescent="0.2">
      <c r="A152" s="4"/>
      <c r="E152" s="4"/>
      <c r="F152" s="4"/>
      <c r="G152" s="10"/>
    </row>
    <row r="153" spans="1:7" x14ac:dyDescent="0.2">
      <c r="A153" s="6"/>
      <c r="B153" s="8"/>
      <c r="C153" s="8"/>
      <c r="E153" s="6"/>
      <c r="F153" s="6"/>
      <c r="G153" s="10"/>
    </row>
    <row r="154" spans="1:7" x14ac:dyDescent="0.2">
      <c r="A154" s="4"/>
      <c r="E154" s="4"/>
      <c r="F154" s="4"/>
      <c r="G154" s="10"/>
    </row>
    <row r="155" spans="1:7" x14ac:dyDescent="0.2">
      <c r="A155" s="2"/>
      <c r="B155" s="8"/>
      <c r="C155" s="8"/>
      <c r="D155" s="6"/>
      <c r="E155" s="6"/>
      <c r="F155" s="6"/>
      <c r="G155" s="9"/>
    </row>
    <row r="156" spans="1:7" x14ac:dyDescent="0.2">
      <c r="A156" s="4"/>
      <c r="E156" s="4"/>
      <c r="F156" s="4"/>
      <c r="G156" s="10"/>
    </row>
    <row r="157" spans="1:7" x14ac:dyDescent="0.2">
      <c r="A157" s="4"/>
      <c r="E157" s="4"/>
      <c r="F157" s="4"/>
      <c r="G157" s="10"/>
    </row>
    <row r="158" spans="1:7" x14ac:dyDescent="0.2">
      <c r="A158" s="4"/>
      <c r="E158" s="4"/>
      <c r="F158" s="4"/>
      <c r="G158" s="10"/>
    </row>
    <row r="159" spans="1:7" x14ac:dyDescent="0.2">
      <c r="A159" s="4"/>
      <c r="E159" s="4"/>
      <c r="F159" s="4"/>
      <c r="G159" s="10"/>
    </row>
    <row r="160" spans="1:7" x14ac:dyDescent="0.2">
      <c r="A160" s="6"/>
      <c r="B160" s="8"/>
      <c r="C160" s="8"/>
      <c r="E160" s="6"/>
      <c r="F160" s="6"/>
      <c r="G160" s="10"/>
    </row>
    <row r="161" spans="1:8" x14ac:dyDescent="0.2">
      <c r="A161" s="4"/>
      <c r="E161" s="4"/>
      <c r="F161" s="4"/>
      <c r="G161" s="10"/>
    </row>
    <row r="162" spans="1:8" x14ac:dyDescent="0.2">
      <c r="A162" s="2"/>
      <c r="B162" s="8"/>
      <c r="C162" s="8"/>
      <c r="D162" s="6"/>
      <c r="E162" s="6"/>
      <c r="F162" s="6"/>
      <c r="G162" s="9"/>
    </row>
    <row r="163" spans="1:8" x14ac:dyDescent="0.2">
      <c r="A163" s="4"/>
      <c r="E163" s="4"/>
      <c r="F163" s="4"/>
      <c r="G163" s="10"/>
      <c r="H163" s="48"/>
    </row>
    <row r="164" spans="1:8" x14ac:dyDescent="0.2">
      <c r="A164" s="4"/>
      <c r="E164" s="4"/>
      <c r="F164" s="4"/>
      <c r="G164" s="10"/>
    </row>
    <row r="165" spans="1:8" x14ac:dyDescent="0.2">
      <c r="A165" s="4"/>
      <c r="E165" s="4"/>
      <c r="F165" s="4"/>
      <c r="G165" s="10"/>
    </row>
    <row r="166" spans="1:8" x14ac:dyDescent="0.2">
      <c r="A166" s="4"/>
      <c r="E166" s="4"/>
      <c r="F166" s="4"/>
      <c r="G166" s="10"/>
    </row>
    <row r="167" spans="1:8" x14ac:dyDescent="0.2">
      <c r="A167" s="6"/>
      <c r="B167" s="8"/>
      <c r="C167" s="8"/>
      <c r="E167" s="6"/>
      <c r="F167" s="6"/>
      <c r="G167" s="10"/>
    </row>
    <row r="168" spans="1:8" x14ac:dyDescent="0.2">
      <c r="A168" s="4"/>
      <c r="E168" s="4"/>
      <c r="F168" s="4"/>
      <c r="G168" s="10"/>
    </row>
    <row r="169" spans="1:8" x14ac:dyDescent="0.2">
      <c r="A169" s="2"/>
      <c r="B169" s="8"/>
      <c r="C169" s="8"/>
      <c r="D169" s="6"/>
      <c r="E169" s="6"/>
      <c r="F169" s="6"/>
      <c r="G169" s="9"/>
    </row>
    <row r="170" spans="1:8" x14ac:dyDescent="0.2">
      <c r="A170" s="4"/>
      <c r="E170" s="4"/>
      <c r="F170" s="4"/>
      <c r="G170" s="10"/>
    </row>
    <row r="171" spans="1:8" x14ac:dyDescent="0.2">
      <c r="A171" s="4"/>
      <c r="E171" s="4"/>
      <c r="F171" s="4"/>
      <c r="G171" s="10"/>
    </row>
    <row r="172" spans="1:8" x14ac:dyDescent="0.2">
      <c r="A172" s="4"/>
      <c r="E172" s="4"/>
      <c r="F172" s="4"/>
      <c r="G172" s="10"/>
    </row>
    <row r="173" spans="1:8" x14ac:dyDescent="0.2">
      <c r="A173" s="4"/>
      <c r="E173" s="4"/>
      <c r="F173" s="4"/>
      <c r="G173" s="10"/>
    </row>
    <row r="174" spans="1:8" x14ac:dyDescent="0.2">
      <c r="A174" s="6"/>
      <c r="B174" s="8"/>
      <c r="C174" s="8"/>
      <c r="E174" s="6"/>
      <c r="F174" s="6"/>
      <c r="G174" s="10"/>
    </row>
    <row r="175" spans="1:8" x14ac:dyDescent="0.2">
      <c r="A175" s="4"/>
      <c r="B175" s="14"/>
      <c r="E175" s="4"/>
      <c r="F175" s="4"/>
      <c r="G175" s="10"/>
    </row>
    <row r="176" spans="1:8" x14ac:dyDescent="0.2">
      <c r="A176" s="6"/>
      <c r="B176" s="8"/>
      <c r="C176" s="8"/>
      <c r="D176" s="6"/>
      <c r="E176" s="6"/>
      <c r="F176" s="6"/>
      <c r="G176" s="10"/>
    </row>
    <row r="177" spans="1:7" x14ac:dyDescent="0.2">
      <c r="A177" s="2"/>
      <c r="B177" s="8"/>
      <c r="C177" s="8"/>
      <c r="D177" s="6"/>
      <c r="E177" s="6"/>
      <c r="F177" s="6"/>
      <c r="G177" s="9"/>
    </row>
    <row r="178" spans="1:7" x14ac:dyDescent="0.2">
      <c r="A178" s="4"/>
      <c r="E178" s="4"/>
      <c r="F178" s="4"/>
      <c r="G178" s="10"/>
    </row>
    <row r="179" spans="1:7" x14ac:dyDescent="0.2">
      <c r="A179" s="4"/>
      <c r="E179" s="4"/>
      <c r="F179" s="4"/>
      <c r="G179" s="10"/>
    </row>
    <row r="180" spans="1:7" x14ac:dyDescent="0.2">
      <c r="A180" s="4"/>
      <c r="E180" s="4"/>
      <c r="F180" s="4"/>
      <c r="G180" s="10"/>
    </row>
    <row r="181" spans="1:7" x14ac:dyDescent="0.2">
      <c r="A181" s="4"/>
      <c r="E181" s="4"/>
      <c r="F181" s="4"/>
      <c r="G181" s="10"/>
    </row>
    <row r="182" spans="1:7" x14ac:dyDescent="0.2">
      <c r="A182" s="6"/>
      <c r="B182" s="8"/>
      <c r="C182" s="8"/>
      <c r="E182" s="6"/>
      <c r="F182" s="6"/>
      <c r="G182" s="10"/>
    </row>
    <row r="183" spans="1:7" x14ac:dyDescent="0.2">
      <c r="A183" s="4"/>
      <c r="E183" s="4"/>
      <c r="F183" s="4"/>
      <c r="G183" s="10"/>
    </row>
    <row r="184" spans="1:7" x14ac:dyDescent="0.2">
      <c r="A184" s="4"/>
      <c r="E184" s="4"/>
      <c r="F184" s="4"/>
      <c r="G184" s="10"/>
    </row>
    <row r="185" spans="1:7" x14ac:dyDescent="0.2">
      <c r="A185" s="4"/>
      <c r="E185" s="4"/>
      <c r="F185" s="4"/>
      <c r="G185" s="10"/>
    </row>
    <row r="186" spans="1:7" x14ac:dyDescent="0.2">
      <c r="A186" s="4"/>
      <c r="E186" s="4"/>
      <c r="F186" s="4"/>
      <c r="G186" s="10"/>
    </row>
    <row r="187" spans="1:7" x14ac:dyDescent="0.2">
      <c r="A187" s="6"/>
      <c r="C187" s="8"/>
      <c r="E187" s="6"/>
      <c r="F187" s="6"/>
      <c r="G187" s="10"/>
    </row>
    <row r="188" spans="1:7" x14ac:dyDescent="0.2">
      <c r="A188" s="13"/>
      <c r="B188" s="14"/>
      <c r="C188" s="14"/>
      <c r="E188" s="13"/>
      <c r="F188" s="13"/>
      <c r="G188" s="10"/>
    </row>
    <row r="189" spans="1:7" x14ac:dyDescent="0.2">
      <c r="A189" s="13"/>
      <c r="B189" s="14"/>
      <c r="C189" s="14"/>
      <c r="E189" s="13"/>
      <c r="F189" s="13"/>
      <c r="G189" s="10"/>
    </row>
    <row r="190" spans="1:7" x14ac:dyDescent="0.2">
      <c r="A190" s="13"/>
      <c r="B190" s="14"/>
      <c r="C190" s="14"/>
      <c r="E190" s="13"/>
      <c r="F190" s="13"/>
      <c r="G190" s="10"/>
    </row>
    <row r="191" spans="1:7" x14ac:dyDescent="0.2">
      <c r="A191" s="4"/>
      <c r="B191" s="14"/>
      <c r="E191" s="4"/>
      <c r="F191" s="4"/>
      <c r="G191" s="10"/>
    </row>
    <row r="192" spans="1:7" x14ac:dyDescent="0.2">
      <c r="A192" s="4"/>
      <c r="B192" s="14"/>
      <c r="E192" s="4"/>
      <c r="F192" s="4"/>
      <c r="G192" s="10"/>
    </row>
    <row r="193" spans="1:8" x14ac:dyDescent="0.2">
      <c r="A193" s="12"/>
      <c r="B193" s="8"/>
      <c r="C193" s="8"/>
      <c r="D193" s="6"/>
      <c r="E193" s="6"/>
      <c r="F193" s="6"/>
      <c r="G193" s="9"/>
    </row>
    <row r="194" spans="1:8" x14ac:dyDescent="0.2">
      <c r="A194" s="4"/>
      <c r="E194" s="4"/>
      <c r="F194" s="4"/>
      <c r="G194" s="10"/>
      <c r="H194" s="48"/>
    </row>
    <row r="195" spans="1:8" x14ac:dyDescent="0.2">
      <c r="A195" s="4"/>
      <c r="E195" s="4"/>
      <c r="F195" s="4"/>
      <c r="G195" s="10"/>
    </row>
    <row r="196" spans="1:8" x14ac:dyDescent="0.2">
      <c r="A196" s="4"/>
      <c r="E196" s="4"/>
      <c r="F196" s="4"/>
      <c r="G196" s="10"/>
    </row>
    <row r="197" spans="1:8" x14ac:dyDescent="0.2">
      <c r="A197" s="4"/>
      <c r="E197" s="4"/>
      <c r="F197" s="4"/>
      <c r="G197" s="10"/>
    </row>
    <row r="198" spans="1:8" x14ac:dyDescent="0.2">
      <c r="A198" s="6"/>
      <c r="B198" s="8"/>
      <c r="C198" s="8"/>
      <c r="E198" s="6"/>
      <c r="F198" s="6"/>
      <c r="G198" s="10"/>
    </row>
    <row r="199" spans="1:8" x14ac:dyDescent="0.2">
      <c r="A199" s="4"/>
      <c r="E199" s="4"/>
      <c r="F199" s="4"/>
      <c r="G199" s="10"/>
    </row>
    <row r="200" spans="1:8" x14ac:dyDescent="0.2">
      <c r="A200" s="4"/>
      <c r="E200" s="4"/>
      <c r="F200" s="4"/>
      <c r="G200" s="10"/>
    </row>
    <row r="201" spans="1:8" x14ac:dyDescent="0.2">
      <c r="A201" s="4"/>
      <c r="E201" s="4"/>
      <c r="F201" s="4"/>
      <c r="G201" s="10"/>
    </row>
    <row r="202" spans="1:8" x14ac:dyDescent="0.2">
      <c r="A202" s="4"/>
      <c r="E202" s="4"/>
      <c r="F202" s="4"/>
      <c r="G202" s="10"/>
    </row>
    <row r="203" spans="1:8" x14ac:dyDescent="0.2">
      <c r="A203" s="4"/>
      <c r="E203" s="4"/>
      <c r="F203" s="4"/>
      <c r="G203" s="10"/>
    </row>
    <row r="204" spans="1:8" x14ac:dyDescent="0.2">
      <c r="A204" s="13"/>
      <c r="B204" s="14"/>
      <c r="C204" s="14"/>
      <c r="E204" s="13"/>
      <c r="F204" s="13"/>
      <c r="G204" s="10"/>
    </row>
    <row r="205" spans="1:8" x14ac:dyDescent="0.2">
      <c r="A205" s="13"/>
      <c r="B205" s="14"/>
      <c r="C205" s="14"/>
      <c r="E205" s="13"/>
      <c r="F205" s="13"/>
      <c r="G205" s="10"/>
    </row>
    <row r="206" spans="1:8" x14ac:dyDescent="0.2">
      <c r="A206" s="13"/>
      <c r="B206" s="14"/>
      <c r="C206" s="14"/>
      <c r="E206" s="13"/>
      <c r="F206" s="13"/>
      <c r="G206" s="10"/>
    </row>
    <row r="207" spans="1:8" x14ac:dyDescent="0.2">
      <c r="A207" s="4"/>
      <c r="B207" s="14"/>
      <c r="C207" s="14"/>
      <c r="E207" s="4"/>
      <c r="F207" s="4"/>
      <c r="G207" s="10"/>
    </row>
    <row r="208" spans="1:8" x14ac:dyDescent="0.2">
      <c r="A208" s="4"/>
      <c r="B208" s="14"/>
      <c r="E208" s="4"/>
      <c r="F208" s="4"/>
      <c r="G208" s="10"/>
    </row>
    <row r="209" spans="1:7" x14ac:dyDescent="0.2">
      <c r="A209" s="12"/>
      <c r="B209" s="8"/>
      <c r="C209" s="8"/>
      <c r="D209" s="6"/>
      <c r="E209" s="6"/>
      <c r="F209" s="6"/>
      <c r="G209" s="9"/>
    </row>
    <row r="210" spans="1:7" x14ac:dyDescent="0.2">
      <c r="A210" s="4"/>
      <c r="E210" s="4"/>
      <c r="F210" s="4"/>
      <c r="G210" s="10"/>
    </row>
    <row r="211" spans="1:7" x14ac:dyDescent="0.2">
      <c r="A211" s="4"/>
      <c r="E211" s="4"/>
      <c r="F211" s="4"/>
      <c r="G211" s="10"/>
    </row>
    <row r="212" spans="1:7" x14ac:dyDescent="0.2">
      <c r="A212" s="4"/>
      <c r="E212" s="4"/>
      <c r="F212" s="4"/>
      <c r="G212" s="10"/>
    </row>
    <row r="213" spans="1:7" x14ac:dyDescent="0.2">
      <c r="A213" s="4"/>
      <c r="E213" s="4"/>
      <c r="F213" s="4"/>
      <c r="G213" s="10"/>
    </row>
    <row r="214" spans="1:7" x14ac:dyDescent="0.2">
      <c r="A214" s="6"/>
      <c r="B214" s="8"/>
      <c r="C214" s="8"/>
      <c r="E214" s="6"/>
      <c r="F214" s="6"/>
      <c r="G214" s="10"/>
    </row>
    <row r="215" spans="1:7" x14ac:dyDescent="0.2">
      <c r="A215" s="4"/>
      <c r="E215" s="4"/>
      <c r="F215" s="4"/>
      <c r="G215" s="10"/>
    </row>
    <row r="216" spans="1:7" x14ac:dyDescent="0.2">
      <c r="A216" s="4"/>
      <c r="E216" s="4"/>
      <c r="F216" s="4"/>
      <c r="G216" s="10"/>
    </row>
    <row r="217" spans="1:7" x14ac:dyDescent="0.2">
      <c r="A217" s="4"/>
      <c r="E217" s="4"/>
      <c r="F217" s="4"/>
      <c r="G217" s="10"/>
    </row>
    <row r="218" spans="1:7" x14ac:dyDescent="0.2">
      <c r="A218" s="4"/>
      <c r="E218" s="4"/>
      <c r="F218" s="4"/>
      <c r="G218" s="10"/>
    </row>
    <row r="219" spans="1:7" x14ac:dyDescent="0.2">
      <c r="A219" s="4"/>
      <c r="E219" s="4"/>
      <c r="F219" s="4"/>
      <c r="G219" s="10"/>
    </row>
    <row r="220" spans="1:7" x14ac:dyDescent="0.2">
      <c r="A220" s="13"/>
      <c r="B220" s="14"/>
      <c r="C220" s="14"/>
      <c r="E220" s="13"/>
      <c r="F220" s="13"/>
      <c r="G220" s="10"/>
    </row>
    <row r="221" spans="1:7" x14ac:dyDescent="0.2">
      <c r="A221" s="13"/>
      <c r="B221" s="14"/>
      <c r="C221" s="14"/>
      <c r="E221" s="13"/>
      <c r="F221" s="13"/>
      <c r="G221" s="10"/>
    </row>
    <row r="222" spans="1:7" x14ac:dyDescent="0.2">
      <c r="A222" s="13"/>
      <c r="B222" s="14"/>
      <c r="C222" s="14"/>
      <c r="E222" s="13"/>
      <c r="F222" s="13"/>
      <c r="G222" s="10"/>
    </row>
    <row r="223" spans="1:7" x14ac:dyDescent="0.2">
      <c r="A223" s="4"/>
      <c r="B223" s="14"/>
      <c r="E223" s="4"/>
      <c r="F223" s="4"/>
      <c r="G223" s="10"/>
    </row>
    <row r="224" spans="1:7" x14ac:dyDescent="0.2">
      <c r="A224" s="4"/>
      <c r="B224" s="14"/>
      <c r="E224" s="4"/>
      <c r="F224" s="4"/>
      <c r="G224" s="10"/>
    </row>
    <row r="225" spans="1:8" x14ac:dyDescent="0.2">
      <c r="A225" s="12"/>
      <c r="B225" s="8"/>
      <c r="C225" s="8"/>
      <c r="D225" s="6"/>
      <c r="E225" s="6"/>
      <c r="F225" s="6"/>
      <c r="G225" s="9"/>
    </row>
    <row r="226" spans="1:8" x14ac:dyDescent="0.2">
      <c r="A226" s="4"/>
      <c r="E226" s="4"/>
      <c r="F226" s="4"/>
      <c r="G226" s="10"/>
    </row>
    <row r="227" spans="1:8" x14ac:dyDescent="0.2">
      <c r="A227" s="4"/>
      <c r="E227" s="4"/>
      <c r="F227" s="4"/>
      <c r="G227" s="10"/>
      <c r="H227" s="48"/>
    </row>
    <row r="228" spans="1:8" x14ac:dyDescent="0.2">
      <c r="A228" s="4"/>
      <c r="E228" s="4"/>
      <c r="F228" s="4"/>
      <c r="G228" s="10"/>
    </row>
    <row r="229" spans="1:8" x14ac:dyDescent="0.2">
      <c r="A229" s="4"/>
      <c r="E229" s="4"/>
      <c r="F229" s="4"/>
      <c r="G229" s="10"/>
    </row>
    <row r="230" spans="1:8" x14ac:dyDescent="0.2">
      <c r="A230" s="6"/>
      <c r="B230" s="8"/>
      <c r="C230" s="8"/>
      <c r="E230" s="6"/>
      <c r="F230" s="6"/>
      <c r="G230" s="10"/>
    </row>
    <row r="231" spans="1:8" x14ac:dyDescent="0.2">
      <c r="A231" s="4"/>
      <c r="E231" s="4"/>
      <c r="F231" s="4"/>
      <c r="G231" s="10"/>
    </row>
    <row r="232" spans="1:8" x14ac:dyDescent="0.2">
      <c r="A232" s="4"/>
      <c r="E232" s="4"/>
      <c r="F232" s="4"/>
      <c r="G232" s="10"/>
    </row>
    <row r="233" spans="1:8" x14ac:dyDescent="0.2">
      <c r="A233" s="4"/>
      <c r="E233" s="4"/>
      <c r="F233" s="4"/>
      <c r="G233" s="10"/>
    </row>
    <row r="234" spans="1:8" x14ac:dyDescent="0.2">
      <c r="A234" s="4"/>
      <c r="E234" s="4"/>
      <c r="F234" s="11"/>
      <c r="G234" s="10"/>
    </row>
    <row r="235" spans="1:8" x14ac:dyDescent="0.2">
      <c r="A235" s="4"/>
      <c r="E235" s="4"/>
      <c r="F235" s="11"/>
      <c r="G235" s="10"/>
    </row>
    <row r="236" spans="1:8" x14ac:dyDescent="0.2">
      <c r="A236" s="13"/>
      <c r="B236" s="14"/>
      <c r="C236" s="14"/>
      <c r="E236" s="13"/>
      <c r="F236" s="13"/>
      <c r="G236" s="10"/>
    </row>
    <row r="237" spans="1:8" x14ac:dyDescent="0.2">
      <c r="A237" s="13"/>
      <c r="B237" s="14"/>
      <c r="C237" s="14"/>
      <c r="E237" s="13"/>
      <c r="F237" s="13"/>
      <c r="G237" s="10"/>
    </row>
    <row r="238" spans="1:8" x14ac:dyDescent="0.2">
      <c r="A238" s="13"/>
      <c r="B238" s="14"/>
      <c r="C238" s="14"/>
      <c r="E238" s="13"/>
      <c r="F238" s="13"/>
      <c r="G238" s="10"/>
    </row>
    <row r="239" spans="1:8" x14ac:dyDescent="0.2">
      <c r="A239" s="4"/>
      <c r="B239" s="14"/>
      <c r="E239" s="4"/>
      <c r="F239" s="11"/>
      <c r="G239" s="10"/>
    </row>
    <row r="240" spans="1:8" x14ac:dyDescent="0.2">
      <c r="A240" s="4"/>
      <c r="B240" s="14"/>
      <c r="E240" s="4"/>
      <c r="F240" s="11"/>
      <c r="G240" s="10"/>
    </row>
    <row r="241" spans="1:7" x14ac:dyDescent="0.2">
      <c r="A241" s="2"/>
      <c r="B241" s="8"/>
      <c r="C241" s="8"/>
      <c r="D241" s="6"/>
      <c r="E241" s="6"/>
      <c r="F241" s="6"/>
      <c r="G241" s="9"/>
    </row>
    <row r="242" spans="1:7" x14ac:dyDescent="0.2">
      <c r="A242" s="4"/>
      <c r="E242" s="4"/>
      <c r="F242" s="4"/>
      <c r="G242" s="10"/>
    </row>
    <row r="243" spans="1:7" x14ac:dyDescent="0.2">
      <c r="A243" s="4"/>
      <c r="E243" s="4"/>
      <c r="F243" s="4"/>
      <c r="G243" s="10"/>
    </row>
    <row r="244" spans="1:7" x14ac:dyDescent="0.2">
      <c r="A244" s="4"/>
      <c r="E244" s="4"/>
      <c r="F244" s="4"/>
      <c r="G244" s="10"/>
    </row>
    <row r="245" spans="1:7" x14ac:dyDescent="0.2">
      <c r="A245" s="4"/>
      <c r="E245" s="4"/>
      <c r="F245" s="4"/>
      <c r="G245" s="10"/>
    </row>
    <row r="246" spans="1:7" x14ac:dyDescent="0.2">
      <c r="A246" s="6"/>
      <c r="B246" s="8"/>
      <c r="C246" s="8"/>
      <c r="E246" s="6"/>
      <c r="F246" s="6"/>
      <c r="G246" s="10"/>
    </row>
    <row r="247" spans="1:7" x14ac:dyDescent="0.2">
      <c r="A247" s="4"/>
      <c r="E247" s="4"/>
      <c r="F247" s="4"/>
      <c r="G247" s="10"/>
    </row>
    <row r="248" spans="1:7" x14ac:dyDescent="0.2">
      <c r="A248" s="4"/>
      <c r="B248" s="15"/>
      <c r="C248" s="15"/>
      <c r="E248" s="4"/>
      <c r="F248" s="4"/>
      <c r="G248" s="10"/>
    </row>
    <row r="249" spans="1:7" x14ac:dyDescent="0.2">
      <c r="A249" s="4"/>
      <c r="B249" s="15"/>
      <c r="C249" s="15"/>
      <c r="E249" s="4"/>
      <c r="F249" s="4"/>
      <c r="G249" s="10"/>
    </row>
    <row r="250" spans="1:7" x14ac:dyDescent="0.2">
      <c r="A250" s="4"/>
      <c r="B250" s="15"/>
      <c r="C250" s="15"/>
      <c r="E250" s="4"/>
      <c r="G250" s="10"/>
    </row>
    <row r="251" spans="1:7" x14ac:dyDescent="0.2">
      <c r="A251" s="6"/>
      <c r="B251" s="16"/>
      <c r="C251" s="16"/>
      <c r="E251" s="6"/>
      <c r="F251" s="6"/>
      <c r="G251" s="10"/>
    </row>
    <row r="252" spans="1:7" x14ac:dyDescent="0.2">
      <c r="A252" s="13"/>
      <c r="B252" s="17"/>
      <c r="C252" s="17"/>
      <c r="E252" s="13"/>
      <c r="F252" s="13"/>
      <c r="G252" s="10"/>
    </row>
    <row r="253" spans="1:7" x14ac:dyDescent="0.2">
      <c r="A253" s="13"/>
      <c r="B253" s="14"/>
      <c r="C253" s="17"/>
      <c r="E253" s="13"/>
      <c r="F253" s="13"/>
      <c r="G253" s="10"/>
    </row>
    <row r="254" spans="1:7" x14ac:dyDescent="0.2">
      <c r="A254" s="13"/>
      <c r="B254" s="14"/>
      <c r="C254" s="14"/>
      <c r="E254" s="13"/>
      <c r="F254" s="13"/>
      <c r="G254" s="10"/>
    </row>
    <row r="255" spans="1:7" x14ac:dyDescent="0.2">
      <c r="A255" s="6"/>
      <c r="B255" s="8"/>
      <c r="C255" s="6"/>
      <c r="E255" s="6"/>
      <c r="F255" s="6"/>
      <c r="G255" s="10"/>
    </row>
    <row r="256" spans="1:7" x14ac:dyDescent="0.2">
      <c r="A256" s="6"/>
      <c r="B256" s="8"/>
      <c r="C256" s="6"/>
      <c r="E256" s="6"/>
      <c r="F256" s="6"/>
      <c r="G256" s="10"/>
    </row>
    <row r="257" spans="1:8" x14ac:dyDescent="0.2">
      <c r="A257" s="12"/>
      <c r="B257" s="8"/>
      <c r="C257" s="8"/>
      <c r="D257" s="6"/>
      <c r="E257" s="6"/>
      <c r="F257" s="6"/>
      <c r="G257" s="9"/>
    </row>
    <row r="258" spans="1:8" x14ac:dyDescent="0.2">
      <c r="A258" s="4"/>
      <c r="E258" s="4"/>
      <c r="F258" s="4"/>
      <c r="G258" s="10"/>
    </row>
    <row r="259" spans="1:8" x14ac:dyDescent="0.2">
      <c r="A259" s="4"/>
      <c r="E259" s="4"/>
      <c r="F259" s="4"/>
      <c r="G259" s="10"/>
    </row>
    <row r="260" spans="1:8" x14ac:dyDescent="0.2">
      <c r="A260" s="4"/>
      <c r="E260" s="4"/>
      <c r="F260" s="4"/>
      <c r="G260" s="10"/>
      <c r="H260" s="48"/>
    </row>
    <row r="261" spans="1:8" x14ac:dyDescent="0.2">
      <c r="A261" s="4"/>
      <c r="E261" s="4"/>
      <c r="F261" s="4"/>
      <c r="G261" s="10"/>
      <c r="H261" s="48"/>
    </row>
    <row r="262" spans="1:8" x14ac:dyDescent="0.2">
      <c r="A262" s="6"/>
      <c r="B262" s="8"/>
      <c r="C262" s="8"/>
      <c r="E262" s="6"/>
      <c r="F262" s="6"/>
      <c r="G262" s="10"/>
      <c r="H262" s="48"/>
    </row>
    <row r="263" spans="1:8" x14ac:dyDescent="0.2">
      <c r="A263" s="4"/>
      <c r="E263" s="4"/>
      <c r="F263" s="4"/>
      <c r="G263" s="10"/>
    </row>
    <row r="264" spans="1:8" x14ac:dyDescent="0.2">
      <c r="A264" s="4"/>
      <c r="E264" s="4"/>
      <c r="F264" s="4"/>
      <c r="G264" s="10"/>
    </row>
    <row r="265" spans="1:8" x14ac:dyDescent="0.2">
      <c r="A265" s="4"/>
      <c r="E265" s="4"/>
      <c r="F265" s="4"/>
      <c r="G265" s="10"/>
    </row>
    <row r="266" spans="1:8" x14ac:dyDescent="0.2">
      <c r="A266" s="4"/>
      <c r="E266" s="4"/>
      <c r="F266" s="4"/>
      <c r="G266" s="10"/>
    </row>
    <row r="267" spans="1:8" x14ac:dyDescent="0.2">
      <c r="A267" s="4"/>
      <c r="E267" s="4"/>
      <c r="F267" s="4"/>
      <c r="G267" s="10"/>
    </row>
    <row r="268" spans="1:8" x14ac:dyDescent="0.2">
      <c r="A268" s="13"/>
      <c r="B268" s="14"/>
      <c r="C268" s="14"/>
      <c r="E268" s="13"/>
      <c r="F268" s="13"/>
      <c r="G268" s="10"/>
    </row>
    <row r="269" spans="1:8" x14ac:dyDescent="0.2">
      <c r="A269" s="13"/>
      <c r="B269" s="14"/>
      <c r="C269" s="14"/>
      <c r="E269" s="13"/>
      <c r="F269" s="13"/>
      <c r="G269" s="10"/>
    </row>
    <row r="270" spans="1:8" x14ac:dyDescent="0.2">
      <c r="A270" s="13"/>
      <c r="B270" s="14"/>
      <c r="C270" s="14"/>
      <c r="E270" s="13"/>
      <c r="F270" s="13"/>
      <c r="G270" s="10"/>
    </row>
    <row r="271" spans="1:8" x14ac:dyDescent="0.2">
      <c r="A271" s="6"/>
      <c r="B271" s="8"/>
      <c r="C271" s="8"/>
      <c r="E271" s="4"/>
      <c r="F271" s="4"/>
      <c r="G271" s="10"/>
    </row>
    <row r="272" spans="1:8" x14ac:dyDescent="0.2">
      <c r="A272" s="4"/>
      <c r="B272" s="14"/>
      <c r="E272" s="4"/>
      <c r="F272" s="4"/>
      <c r="G272" s="10"/>
    </row>
    <row r="273" spans="1:7" x14ac:dyDescent="0.2">
      <c r="A273" s="12"/>
      <c r="B273" s="8"/>
      <c r="C273" s="8"/>
      <c r="D273" s="6"/>
      <c r="E273" s="6"/>
      <c r="F273" s="6"/>
      <c r="G273" s="9"/>
    </row>
    <row r="274" spans="1:7" x14ac:dyDescent="0.2">
      <c r="A274" s="4"/>
      <c r="E274" s="4"/>
      <c r="F274" s="4"/>
      <c r="G274" s="10"/>
    </row>
    <row r="275" spans="1:7" x14ac:dyDescent="0.2">
      <c r="A275" s="4"/>
      <c r="E275" s="4"/>
      <c r="F275" s="4"/>
      <c r="G275" s="10"/>
    </row>
    <row r="276" spans="1:7" x14ac:dyDescent="0.2">
      <c r="A276" s="4"/>
      <c r="E276" s="4"/>
      <c r="F276" s="4"/>
      <c r="G276" s="10"/>
    </row>
    <row r="277" spans="1:7" x14ac:dyDescent="0.2">
      <c r="A277" s="4"/>
      <c r="E277" s="4"/>
      <c r="F277" s="4"/>
      <c r="G277" s="10"/>
    </row>
    <row r="278" spans="1:7" x14ac:dyDescent="0.2">
      <c r="A278" s="6"/>
      <c r="B278" s="8"/>
      <c r="C278" s="8"/>
      <c r="E278" s="6"/>
      <c r="F278" s="6"/>
      <c r="G278" s="10"/>
    </row>
    <row r="279" spans="1:7" x14ac:dyDescent="0.2">
      <c r="A279" s="4"/>
      <c r="E279" s="4"/>
      <c r="F279" s="4"/>
      <c r="G279" s="10"/>
    </row>
    <row r="280" spans="1:7" x14ac:dyDescent="0.2">
      <c r="A280" s="4"/>
      <c r="E280" s="4"/>
      <c r="F280" s="4"/>
      <c r="G280" s="10"/>
    </row>
    <row r="281" spans="1:7" x14ac:dyDescent="0.2">
      <c r="A281" s="4"/>
      <c r="E281" s="4"/>
      <c r="F281" s="4"/>
      <c r="G281" s="10"/>
    </row>
    <row r="282" spans="1:7" x14ac:dyDescent="0.2">
      <c r="A282" s="4"/>
      <c r="E282" s="4"/>
      <c r="F282" s="4"/>
      <c r="G282" s="10"/>
    </row>
    <row r="283" spans="1:7" x14ac:dyDescent="0.2">
      <c r="A283" s="4"/>
      <c r="E283" s="4"/>
      <c r="F283" s="4"/>
      <c r="G283" s="10"/>
    </row>
    <row r="284" spans="1:7" x14ac:dyDescent="0.2">
      <c r="A284" s="13"/>
      <c r="B284" s="14"/>
      <c r="C284" s="14"/>
      <c r="E284" s="13"/>
      <c r="F284" s="13"/>
      <c r="G284" s="10"/>
    </row>
    <row r="285" spans="1:7" x14ac:dyDescent="0.2">
      <c r="A285" s="13"/>
      <c r="B285" s="14"/>
      <c r="C285" s="14"/>
      <c r="E285" s="13"/>
      <c r="F285" s="13"/>
      <c r="G285" s="10"/>
    </row>
    <row r="286" spans="1:7" x14ac:dyDescent="0.2">
      <c r="A286" s="13"/>
      <c r="B286" s="14"/>
      <c r="C286" s="14"/>
      <c r="E286" s="13"/>
      <c r="F286" s="13"/>
      <c r="G286" s="10"/>
    </row>
    <row r="287" spans="1:7" x14ac:dyDescent="0.2">
      <c r="A287" s="4"/>
      <c r="B287" s="14"/>
      <c r="E287" s="4"/>
      <c r="F287" s="4"/>
      <c r="G287" s="10"/>
    </row>
    <row r="288" spans="1:7" x14ac:dyDescent="0.2">
      <c r="A288" s="4"/>
      <c r="B288" s="14"/>
      <c r="E288" s="4"/>
      <c r="F288" s="4"/>
      <c r="G288" s="10"/>
    </row>
    <row r="289" spans="1:8" x14ac:dyDescent="0.2">
      <c r="A289" s="12"/>
      <c r="B289" s="103"/>
      <c r="C289" s="103"/>
      <c r="D289" s="6"/>
      <c r="E289" s="6"/>
      <c r="F289" s="6"/>
      <c r="G289" s="9"/>
    </row>
    <row r="290" spans="1:8" x14ac:dyDescent="0.2">
      <c r="A290" s="4"/>
      <c r="E290" s="4"/>
      <c r="F290" s="4"/>
      <c r="G290" s="10"/>
    </row>
    <row r="291" spans="1:8" x14ac:dyDescent="0.2">
      <c r="A291" s="4"/>
      <c r="E291" s="4"/>
      <c r="F291" s="4"/>
      <c r="G291" s="10"/>
    </row>
    <row r="292" spans="1:8" x14ac:dyDescent="0.2">
      <c r="A292" s="4"/>
      <c r="E292" s="4"/>
      <c r="F292" s="4"/>
      <c r="G292" s="10"/>
    </row>
    <row r="293" spans="1:8" x14ac:dyDescent="0.2">
      <c r="A293" s="4"/>
      <c r="E293" s="4"/>
      <c r="F293" s="4"/>
      <c r="G293" s="10"/>
    </row>
    <row r="294" spans="1:8" x14ac:dyDescent="0.2">
      <c r="A294" s="6"/>
      <c r="B294" s="8"/>
      <c r="C294" s="8"/>
      <c r="E294" s="6"/>
      <c r="F294" s="6"/>
      <c r="G294" s="10"/>
    </row>
    <row r="295" spans="1:8" x14ac:dyDescent="0.2">
      <c r="A295" s="4"/>
      <c r="E295" s="4"/>
      <c r="F295" s="4"/>
      <c r="G295" s="10"/>
    </row>
    <row r="296" spans="1:8" x14ac:dyDescent="0.2">
      <c r="A296" s="4"/>
      <c r="E296" s="4"/>
      <c r="F296" s="4"/>
      <c r="G296" s="10"/>
    </row>
    <row r="297" spans="1:8" x14ac:dyDescent="0.2">
      <c r="A297" s="4"/>
      <c r="E297" s="4"/>
      <c r="F297" s="4"/>
      <c r="G297" s="10"/>
      <c r="H297" s="48"/>
    </row>
    <row r="298" spans="1:8" x14ac:dyDescent="0.2">
      <c r="A298" s="4"/>
      <c r="E298" s="4"/>
      <c r="F298" s="4"/>
      <c r="G298" s="10"/>
    </row>
    <row r="299" spans="1:8" x14ac:dyDescent="0.2">
      <c r="A299" s="4"/>
      <c r="E299" s="4"/>
      <c r="F299" s="4"/>
      <c r="G299" s="10"/>
    </row>
    <row r="300" spans="1:8" x14ac:dyDescent="0.2">
      <c r="A300" s="13"/>
      <c r="B300" s="14"/>
      <c r="C300" s="14"/>
      <c r="E300" s="13"/>
      <c r="F300" s="13"/>
      <c r="G300" s="10"/>
    </row>
    <row r="301" spans="1:8" x14ac:dyDescent="0.2">
      <c r="A301" s="13"/>
      <c r="B301" s="14"/>
      <c r="C301" s="14"/>
      <c r="E301" s="13"/>
      <c r="F301" s="13"/>
      <c r="G301" s="10"/>
    </row>
    <row r="302" spans="1:8" x14ac:dyDescent="0.2">
      <c r="A302" s="13"/>
      <c r="B302" s="14"/>
      <c r="C302" s="14"/>
      <c r="E302" s="13"/>
      <c r="F302" s="13"/>
      <c r="G302" s="10"/>
    </row>
    <row r="303" spans="1:8" x14ac:dyDescent="0.2">
      <c r="A303" s="4"/>
      <c r="B303" s="14"/>
      <c r="E303" s="4"/>
      <c r="F303" s="4"/>
      <c r="G303" s="10"/>
    </row>
    <row r="304" spans="1:8" x14ac:dyDescent="0.2">
      <c r="A304" s="4"/>
      <c r="B304" s="14"/>
      <c r="E304" s="4"/>
      <c r="F304" s="4"/>
      <c r="G304" s="10"/>
    </row>
    <row r="305" spans="1:7" x14ac:dyDescent="0.2">
      <c r="A305" s="12"/>
      <c r="B305" s="103"/>
      <c r="C305" s="103"/>
      <c r="D305" s="6"/>
      <c r="E305" s="6"/>
      <c r="F305" s="6"/>
      <c r="G305" s="9"/>
    </row>
    <row r="306" spans="1:7" x14ac:dyDescent="0.2">
      <c r="A306" s="4"/>
      <c r="E306" s="4"/>
      <c r="F306" s="4"/>
      <c r="G306" s="10"/>
    </row>
    <row r="307" spans="1:7" x14ac:dyDescent="0.2">
      <c r="A307" s="4"/>
      <c r="E307" s="4"/>
      <c r="F307" s="4"/>
      <c r="G307" s="10"/>
    </row>
    <row r="308" spans="1:7" x14ac:dyDescent="0.2">
      <c r="A308" s="4"/>
      <c r="E308" s="4"/>
      <c r="F308" s="4"/>
      <c r="G308" s="10"/>
    </row>
    <row r="309" spans="1:7" x14ac:dyDescent="0.2">
      <c r="A309" s="4"/>
      <c r="E309" s="4"/>
      <c r="F309" s="1"/>
      <c r="G309" s="10"/>
    </row>
    <row r="310" spans="1:7" x14ac:dyDescent="0.2">
      <c r="A310" s="6"/>
      <c r="B310" s="8"/>
      <c r="C310" s="8"/>
      <c r="E310" s="4"/>
      <c r="F310" s="6"/>
      <c r="G310" s="10"/>
    </row>
    <row r="311" spans="1:7" x14ac:dyDescent="0.2">
      <c r="A311" s="4"/>
      <c r="E311" s="4"/>
      <c r="F311" s="1"/>
      <c r="G311" s="10"/>
    </row>
    <row r="312" spans="1:7" x14ac:dyDescent="0.2">
      <c r="A312" s="4"/>
      <c r="E312" s="4"/>
      <c r="F312" s="1"/>
      <c r="G312" s="10"/>
    </row>
    <row r="313" spans="1:7" x14ac:dyDescent="0.2">
      <c r="A313" s="4"/>
      <c r="E313" s="4"/>
      <c r="F313" s="1"/>
      <c r="G313" s="10"/>
    </row>
    <row r="314" spans="1:7" x14ac:dyDescent="0.2">
      <c r="A314" s="4"/>
      <c r="E314" s="4"/>
      <c r="F314" s="1"/>
      <c r="G314" s="10"/>
    </row>
    <row r="315" spans="1:7" x14ac:dyDescent="0.2">
      <c r="A315" s="4"/>
      <c r="E315" s="4"/>
      <c r="F315" s="1"/>
      <c r="G315" s="10"/>
    </row>
    <row r="316" spans="1:7" x14ac:dyDescent="0.2">
      <c r="A316" s="13"/>
      <c r="B316" s="14"/>
      <c r="C316" s="14"/>
      <c r="E316" s="13"/>
      <c r="F316" s="18"/>
      <c r="G316" s="10"/>
    </row>
    <row r="317" spans="1:7" x14ac:dyDescent="0.2">
      <c r="A317" s="13"/>
      <c r="B317" s="14"/>
      <c r="C317" s="14"/>
      <c r="E317" s="13"/>
      <c r="F317" s="18"/>
      <c r="G317" s="10"/>
    </row>
    <row r="318" spans="1:7" x14ac:dyDescent="0.2">
      <c r="A318" s="13"/>
      <c r="B318" s="14"/>
      <c r="C318" s="14"/>
      <c r="E318" s="13"/>
      <c r="F318" s="18"/>
      <c r="G318" s="10"/>
    </row>
    <row r="319" spans="1:7" x14ac:dyDescent="0.2">
      <c r="A319" s="4"/>
      <c r="B319" s="14"/>
      <c r="E319" s="13"/>
      <c r="F319" s="1"/>
      <c r="G319" s="3"/>
    </row>
    <row r="320" spans="1:7" x14ac:dyDescent="0.2">
      <c r="A320" s="4"/>
      <c r="B320" s="14"/>
      <c r="E320" s="13"/>
      <c r="F320" s="1"/>
      <c r="G320" s="3"/>
    </row>
    <row r="321" spans="1:7" x14ac:dyDescent="0.2">
      <c r="A321" s="4"/>
      <c r="G321" s="3"/>
    </row>
  </sheetData>
  <mergeCells count="13">
    <mergeCell ref="B1:C1"/>
    <mergeCell ref="B49:C49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289:C289"/>
    <mergeCell ref="B305:C30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2023-11-07T17:08:45Z</dcterms:modified>
</cp:coreProperties>
</file>