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1/"/>
    </mc:Choice>
  </mc:AlternateContent>
  <xr:revisionPtr revIDLastSave="0" documentId="13_ncr:1_{EED7E031-BCE9-DB47-A020-E0AEF3C29E90}" xr6:coauthVersionLast="46" xr6:coauthVersionMax="46" xr10:uidLastSave="{00000000-0000-0000-0000-000000000000}"/>
  <bookViews>
    <workbookView xWindow="0" yWindow="500" windowWidth="28800" windowHeight="17500" activeTab="1" xr2:uid="{05D28018-5EC7-B748-ACA7-09DD0AD3B70C}"/>
  </bookViews>
  <sheets>
    <sheet name="dose" sheetId="4" r:id="rId1"/>
    <sheet name="feces pos ttmnt - PA 10^5.6" sheetId="5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24" i="5" l="1"/>
  <c r="G223" i="5"/>
  <c r="G222" i="5"/>
  <c r="G221" i="5"/>
  <c r="G220" i="5"/>
  <c r="G219" i="5"/>
  <c r="G218" i="5"/>
  <c r="G217" i="5"/>
  <c r="G216" i="5"/>
  <c r="G215" i="5"/>
  <c r="G139" i="5"/>
  <c r="G138" i="5"/>
  <c r="G137" i="5"/>
  <c r="G136" i="5"/>
  <c r="G135" i="5"/>
  <c r="G134" i="5"/>
  <c r="G133" i="5"/>
  <c r="G132" i="5"/>
  <c r="G131" i="5"/>
  <c r="G130" i="5"/>
  <c r="F176" i="5"/>
  <c r="F175" i="5"/>
  <c r="F174" i="5"/>
  <c r="F165" i="5"/>
  <c r="F164" i="5"/>
  <c r="F163" i="5"/>
  <c r="F152" i="5"/>
  <c r="F151" i="5"/>
  <c r="F150" i="5"/>
  <c r="F139" i="5"/>
  <c r="F138" i="5"/>
  <c r="F137" i="5"/>
  <c r="F128" i="5"/>
  <c r="F127" i="5"/>
  <c r="F126" i="5"/>
  <c r="F237" i="5"/>
  <c r="F236" i="5"/>
  <c r="F235" i="5"/>
  <c r="F224" i="5"/>
  <c r="F223" i="5"/>
  <c r="F222" i="5"/>
  <c r="F213" i="5"/>
  <c r="F212" i="5"/>
  <c r="F211" i="5"/>
  <c r="F202" i="5"/>
  <c r="F201" i="5"/>
  <c r="F200" i="5"/>
  <c r="F189" i="5"/>
  <c r="F188" i="5"/>
  <c r="F187" i="5"/>
  <c r="F50" i="5"/>
  <c r="F49" i="5"/>
  <c r="F48" i="5"/>
  <c r="F47" i="5"/>
  <c r="F46" i="5"/>
  <c r="F55" i="5"/>
  <c r="F54" i="5"/>
  <c r="F53" i="5"/>
  <c r="F52" i="5"/>
  <c r="F51" i="5"/>
  <c r="F44" i="5"/>
  <c r="F43" i="5"/>
  <c r="F42" i="5"/>
  <c r="F41" i="5"/>
  <c r="F40" i="5"/>
  <c r="F39" i="5"/>
  <c r="F38" i="5"/>
  <c r="F37" i="5"/>
  <c r="F36" i="5"/>
  <c r="F35" i="5"/>
  <c r="F28" i="5"/>
  <c r="F27" i="5"/>
  <c r="F26" i="5"/>
  <c r="F25" i="5"/>
  <c r="F24" i="5"/>
  <c r="F33" i="5"/>
  <c r="F32" i="5"/>
  <c r="F31" i="5"/>
  <c r="F30" i="5"/>
  <c r="F22" i="5"/>
  <c r="F21" i="5"/>
  <c r="F20" i="5"/>
  <c r="F19" i="5"/>
  <c r="F18" i="5"/>
  <c r="F17" i="5"/>
  <c r="F16" i="5"/>
  <c r="F15" i="5"/>
  <c r="F14" i="5"/>
  <c r="F13" i="5"/>
  <c r="F6" i="5"/>
  <c r="F5" i="5"/>
  <c r="F4" i="5"/>
  <c r="F3" i="5"/>
  <c r="F2" i="5"/>
  <c r="F11" i="5"/>
  <c r="F10" i="5"/>
  <c r="F9" i="5"/>
  <c r="F8" i="5"/>
  <c r="F7" i="5"/>
  <c r="F114" i="5"/>
  <c r="F113" i="5"/>
  <c r="F112" i="5"/>
  <c r="F111" i="5"/>
  <c r="F110" i="5"/>
  <c r="F109" i="5"/>
  <c r="F108" i="5"/>
  <c r="F107" i="5"/>
  <c r="F106" i="5"/>
  <c r="F105" i="5"/>
  <c r="G101" i="5"/>
  <c r="G97" i="5"/>
  <c r="G98" i="5"/>
  <c r="G99" i="5"/>
  <c r="G100" i="5"/>
  <c r="F96" i="5"/>
  <c r="F95" i="5"/>
  <c r="F94" i="5"/>
  <c r="F93" i="5"/>
  <c r="F92" i="5"/>
  <c r="F90" i="5"/>
  <c r="F89" i="5"/>
  <c r="F88" i="5"/>
  <c r="F87" i="5"/>
  <c r="F86" i="5"/>
  <c r="F101" i="5"/>
  <c r="G90" i="5" s="1"/>
  <c r="F100" i="5"/>
  <c r="F99" i="5"/>
  <c r="F98" i="5"/>
  <c r="F97" i="5"/>
  <c r="F85" i="5"/>
  <c r="F84" i="5"/>
  <c r="F83" i="5"/>
  <c r="F82" i="5"/>
  <c r="F81" i="5"/>
  <c r="F74" i="5"/>
  <c r="F73" i="5"/>
  <c r="F72" i="5"/>
  <c r="F71" i="5"/>
  <c r="F70" i="5"/>
  <c r="F79" i="5"/>
  <c r="F78" i="5"/>
  <c r="F77" i="5"/>
  <c r="F76" i="5"/>
  <c r="F75" i="5"/>
  <c r="F66" i="5"/>
  <c r="F65" i="5"/>
  <c r="F64" i="5"/>
  <c r="F63" i="5"/>
  <c r="F62" i="5"/>
  <c r="F61" i="5"/>
  <c r="F60" i="5"/>
  <c r="F59" i="5"/>
  <c r="F58" i="5"/>
  <c r="F57" i="5"/>
  <c r="D237" i="5"/>
  <c r="G237" i="5" s="1"/>
  <c r="D224" i="5"/>
  <c r="D213" i="5"/>
  <c r="G213" i="5" s="1"/>
  <c r="D202" i="5"/>
  <c r="G202" i="5" s="1"/>
  <c r="D189" i="5"/>
  <c r="G189" i="5" s="1"/>
  <c r="D176" i="5"/>
  <c r="G176" i="5" s="1"/>
  <c r="F162" i="5"/>
  <c r="D163" i="5"/>
  <c r="G163" i="5" s="1"/>
  <c r="D164" i="5"/>
  <c r="G164" i="5" s="1"/>
  <c r="D165" i="5"/>
  <c r="D152" i="5"/>
  <c r="G152" i="5" s="1"/>
  <c r="D139" i="5"/>
  <c r="D128" i="5"/>
  <c r="D114" i="5"/>
  <c r="G114" i="5" s="1"/>
  <c r="D101" i="5"/>
  <c r="D88" i="5"/>
  <c r="G88" i="5" s="1"/>
  <c r="D89" i="5"/>
  <c r="G89" i="5" s="1"/>
  <c r="D90" i="5"/>
  <c r="D79" i="5"/>
  <c r="G79" i="5" s="1"/>
  <c r="D78" i="5"/>
  <c r="D66" i="5"/>
  <c r="G66" i="5" s="1"/>
  <c r="D53" i="5"/>
  <c r="G53" i="5" s="1"/>
  <c r="D54" i="5"/>
  <c r="D55" i="5"/>
  <c r="G54" i="5"/>
  <c r="G55" i="5"/>
  <c r="G44" i="5"/>
  <c r="D42" i="5"/>
  <c r="G42" i="5" s="1"/>
  <c r="D43" i="5"/>
  <c r="G43" i="5" s="1"/>
  <c r="D44" i="5"/>
  <c r="D33" i="5"/>
  <c r="G33" i="5" s="1"/>
  <c r="T11" i="5"/>
  <c r="U11" i="5" s="1"/>
  <c r="V11" i="5" s="1"/>
  <c r="S11" i="5"/>
  <c r="D20" i="5"/>
  <c r="G20" i="5" s="1"/>
  <c r="D21" i="5"/>
  <c r="G21" i="5" s="1"/>
  <c r="D22" i="5"/>
  <c r="G22" i="5" s="1"/>
  <c r="D11" i="5"/>
  <c r="G11" i="5" s="1"/>
  <c r="G165" i="5" l="1"/>
  <c r="G128" i="5"/>
  <c r="F173" i="5"/>
  <c r="F172" i="5"/>
  <c r="F161" i="5"/>
  <c r="F149" i="5"/>
  <c r="F148" i="5"/>
  <c r="F136" i="5"/>
  <c r="F135" i="5"/>
  <c r="F125" i="5"/>
  <c r="F124" i="5"/>
  <c r="F234" i="5"/>
  <c r="F233" i="5"/>
  <c r="F221" i="5"/>
  <c r="F220" i="5"/>
  <c r="F210" i="5"/>
  <c r="F209" i="5"/>
  <c r="F199" i="5"/>
  <c r="F198" i="5"/>
  <c r="F186" i="5"/>
  <c r="F185" i="5"/>
  <c r="F232" i="5"/>
  <c r="F231" i="5"/>
  <c r="F230" i="5"/>
  <c r="F229" i="5"/>
  <c r="F228" i="5"/>
  <c r="F219" i="5"/>
  <c r="F218" i="5"/>
  <c r="F217" i="5"/>
  <c r="F216" i="5"/>
  <c r="F215" i="5"/>
  <c r="F208" i="5"/>
  <c r="F207" i="5"/>
  <c r="F206" i="5"/>
  <c r="F205" i="5"/>
  <c r="F204" i="5"/>
  <c r="F197" i="5"/>
  <c r="F196" i="5"/>
  <c r="F195" i="5"/>
  <c r="F194" i="5"/>
  <c r="F193" i="5"/>
  <c r="F184" i="5"/>
  <c r="F183" i="5"/>
  <c r="F182" i="5"/>
  <c r="F181" i="5"/>
  <c r="F180" i="5"/>
  <c r="F171" i="5"/>
  <c r="F170" i="5"/>
  <c r="F169" i="5"/>
  <c r="F168" i="5"/>
  <c r="F167" i="5"/>
  <c r="F160" i="5"/>
  <c r="F159" i="5"/>
  <c r="F158" i="5"/>
  <c r="F157" i="5"/>
  <c r="F156" i="5"/>
  <c r="F147" i="5"/>
  <c r="F146" i="5"/>
  <c r="F145" i="5"/>
  <c r="F144" i="5"/>
  <c r="F143" i="5"/>
  <c r="F134" i="5"/>
  <c r="F133" i="5"/>
  <c r="F132" i="5"/>
  <c r="F131" i="5"/>
  <c r="F130" i="5"/>
  <c r="D133" i="5"/>
  <c r="D134" i="5"/>
  <c r="D135" i="5"/>
  <c r="D136" i="5"/>
  <c r="D137" i="5"/>
  <c r="D138" i="5"/>
  <c r="F123" i="5"/>
  <c r="F122" i="5"/>
  <c r="F121" i="5"/>
  <c r="F120" i="5"/>
  <c r="F119" i="5"/>
  <c r="D211" i="5" l="1"/>
  <c r="G211" i="5" s="1"/>
  <c r="D212" i="5"/>
  <c r="G212" i="5" s="1"/>
  <c r="D200" i="5"/>
  <c r="D201" i="5"/>
  <c r="G201" i="5" s="1"/>
  <c r="D127" i="5"/>
  <c r="G127" i="5" s="1"/>
  <c r="D126" i="5"/>
  <c r="G126" i="5" s="1"/>
  <c r="G78" i="5"/>
  <c r="D77" i="5"/>
  <c r="D30" i="5"/>
  <c r="D31" i="5"/>
  <c r="G31" i="5" s="1"/>
  <c r="D32" i="5"/>
  <c r="G32" i="5" s="1"/>
  <c r="D10" i="5"/>
  <c r="G10" i="5" s="1"/>
  <c r="D9" i="5"/>
  <c r="G200" i="5" l="1"/>
  <c r="G77" i="5"/>
  <c r="G30" i="5"/>
  <c r="G9" i="5"/>
  <c r="D236" i="5"/>
  <c r="G236" i="5" s="1"/>
  <c r="D235" i="5"/>
  <c r="G235" i="5" s="1"/>
  <c r="D234" i="5"/>
  <c r="G234" i="5" s="1"/>
  <c r="D233" i="5"/>
  <c r="G233" i="5" s="1"/>
  <c r="D232" i="5"/>
  <c r="G232" i="5" s="1"/>
  <c r="D231" i="5"/>
  <c r="G231" i="5" s="1"/>
  <c r="D230" i="5"/>
  <c r="G230" i="5" s="1"/>
  <c r="D229" i="5"/>
  <c r="G229" i="5" s="1"/>
  <c r="D228" i="5"/>
  <c r="G228" i="5" s="1"/>
  <c r="D223" i="5"/>
  <c r="D222" i="5"/>
  <c r="D221" i="5"/>
  <c r="D220" i="5"/>
  <c r="D219" i="5"/>
  <c r="D218" i="5"/>
  <c r="D217" i="5"/>
  <c r="D216" i="5"/>
  <c r="D215" i="5"/>
  <c r="D210" i="5"/>
  <c r="G210" i="5" s="1"/>
  <c r="D209" i="5"/>
  <c r="G209" i="5" s="1"/>
  <c r="D208" i="5"/>
  <c r="G208" i="5" s="1"/>
  <c r="D207" i="5"/>
  <c r="G207" i="5" s="1"/>
  <c r="D206" i="5"/>
  <c r="G206" i="5" s="1"/>
  <c r="D205" i="5"/>
  <c r="G205" i="5" s="1"/>
  <c r="D204" i="5"/>
  <c r="G204" i="5" s="1"/>
  <c r="D199" i="5"/>
  <c r="G199" i="5" s="1"/>
  <c r="D198" i="5"/>
  <c r="G198" i="5" s="1"/>
  <c r="D197" i="5"/>
  <c r="G197" i="5" s="1"/>
  <c r="D196" i="5"/>
  <c r="G196" i="5" s="1"/>
  <c r="D195" i="5"/>
  <c r="G195" i="5" s="1"/>
  <c r="D194" i="5"/>
  <c r="G194" i="5" s="1"/>
  <c r="D193" i="5"/>
  <c r="G193" i="5" s="1"/>
  <c r="D188" i="5"/>
  <c r="G188" i="5" s="1"/>
  <c r="D187" i="5"/>
  <c r="G187" i="5" s="1"/>
  <c r="D186" i="5"/>
  <c r="G186" i="5" s="1"/>
  <c r="D185" i="5"/>
  <c r="G185" i="5" s="1"/>
  <c r="D184" i="5"/>
  <c r="G184" i="5" s="1"/>
  <c r="D183" i="5"/>
  <c r="G183" i="5" s="1"/>
  <c r="D182" i="5"/>
  <c r="G182" i="5" s="1"/>
  <c r="D181" i="5"/>
  <c r="G181" i="5" s="1"/>
  <c r="D180" i="5"/>
  <c r="G180" i="5" s="1"/>
  <c r="D175" i="5" l="1"/>
  <c r="G175" i="5" s="1"/>
  <c r="D174" i="5"/>
  <c r="G174" i="5" s="1"/>
  <c r="D151" i="5"/>
  <c r="G151" i="5" s="1"/>
  <c r="D150" i="5"/>
  <c r="G150" i="5" s="1"/>
  <c r="D113" i="5"/>
  <c r="G113" i="5" s="1"/>
  <c r="D112" i="5"/>
  <c r="G112" i="5" s="1"/>
  <c r="D100" i="5"/>
  <c r="D99" i="5"/>
  <c r="D65" i="5"/>
  <c r="D64" i="5"/>
  <c r="G64" i="5" s="1"/>
  <c r="G65" i="5" l="1"/>
  <c r="D3" i="5"/>
  <c r="D173" i="5"/>
  <c r="G173" i="5" s="1"/>
  <c r="D172" i="5"/>
  <c r="D171" i="5"/>
  <c r="G171" i="5" s="1"/>
  <c r="D170" i="5"/>
  <c r="G170" i="5" s="1"/>
  <c r="D169" i="5"/>
  <c r="G169" i="5" s="1"/>
  <c r="D168" i="5"/>
  <c r="D167" i="5"/>
  <c r="G167" i="5" s="1"/>
  <c r="D162" i="5"/>
  <c r="G162" i="5" s="1"/>
  <c r="D161" i="5"/>
  <c r="G161" i="5" s="1"/>
  <c r="D160" i="5"/>
  <c r="G160" i="5" s="1"/>
  <c r="D159" i="5"/>
  <c r="G159" i="5" s="1"/>
  <c r="D158" i="5"/>
  <c r="G158" i="5" s="1"/>
  <c r="D157" i="5"/>
  <c r="D156" i="5"/>
  <c r="D149" i="5"/>
  <c r="G149" i="5" s="1"/>
  <c r="D148" i="5"/>
  <c r="G148" i="5" s="1"/>
  <c r="D147" i="5"/>
  <c r="G147" i="5" s="1"/>
  <c r="D146" i="5"/>
  <c r="G146" i="5" s="1"/>
  <c r="D145" i="5"/>
  <c r="G145" i="5" s="1"/>
  <c r="D144" i="5"/>
  <c r="G144" i="5" s="1"/>
  <c r="D143" i="5"/>
  <c r="D132" i="5"/>
  <c r="D131" i="5"/>
  <c r="D130" i="5"/>
  <c r="D125" i="5"/>
  <c r="G125" i="5" s="1"/>
  <c r="D124" i="5"/>
  <c r="G124" i="5" s="1"/>
  <c r="D123" i="5"/>
  <c r="G123" i="5" s="1"/>
  <c r="D122" i="5"/>
  <c r="G122" i="5" s="1"/>
  <c r="D121" i="5"/>
  <c r="G121" i="5" s="1"/>
  <c r="D120" i="5"/>
  <c r="G120" i="5" s="1"/>
  <c r="D119" i="5"/>
  <c r="G119" i="5" s="1"/>
  <c r="G156" i="5" l="1"/>
  <c r="G143" i="5"/>
  <c r="G157" i="5"/>
  <c r="G168" i="5"/>
  <c r="D51" i="5"/>
  <c r="G51" i="5" s="1"/>
  <c r="D3" i="4" l="1"/>
  <c r="D4" i="5" l="1"/>
  <c r="D111" i="5"/>
  <c r="G111" i="5" s="1"/>
  <c r="D110" i="5"/>
  <c r="G110" i="5" s="1"/>
  <c r="D109" i="5"/>
  <c r="G109" i="5" s="1"/>
  <c r="D108" i="5"/>
  <c r="G108" i="5" s="1"/>
  <c r="D107" i="5"/>
  <c r="G107" i="5" s="1"/>
  <c r="D106" i="5"/>
  <c r="G106" i="5" s="1"/>
  <c r="D105" i="5"/>
  <c r="G105" i="5" s="1"/>
  <c r="S10" i="5" l="1"/>
  <c r="T10" i="5" s="1"/>
  <c r="U10" i="5" s="1"/>
  <c r="V10" i="5" s="1"/>
  <c r="L5" i="4" l="1"/>
  <c r="L4" i="4"/>
  <c r="S9" i="5" l="1"/>
  <c r="T9" i="5" s="1"/>
  <c r="U9" i="5" s="1"/>
  <c r="V9" i="5" s="1"/>
  <c r="D15" i="5" l="1"/>
  <c r="G15" i="5" s="1"/>
  <c r="D98" i="5"/>
  <c r="D97" i="5"/>
  <c r="D96" i="5"/>
  <c r="G96" i="5" s="1"/>
  <c r="D95" i="5"/>
  <c r="G95" i="5" s="1"/>
  <c r="D94" i="5"/>
  <c r="G94" i="5" s="1"/>
  <c r="D93" i="5"/>
  <c r="G93" i="5" s="1"/>
  <c r="D92" i="5"/>
  <c r="G92" i="5" s="1"/>
  <c r="D87" i="5"/>
  <c r="G87" i="5" s="1"/>
  <c r="D86" i="5"/>
  <c r="G86" i="5" s="1"/>
  <c r="D85" i="5"/>
  <c r="G85" i="5" s="1"/>
  <c r="D84" i="5"/>
  <c r="G84" i="5" s="1"/>
  <c r="D83" i="5"/>
  <c r="G83" i="5" s="1"/>
  <c r="D82" i="5"/>
  <c r="G82" i="5" s="1"/>
  <c r="D81" i="5"/>
  <c r="G81" i="5" s="1"/>
  <c r="D76" i="5"/>
  <c r="G76" i="5" s="1"/>
  <c r="D75" i="5"/>
  <c r="G75" i="5" s="1"/>
  <c r="D74" i="5"/>
  <c r="G74" i="5" s="1"/>
  <c r="D73" i="5"/>
  <c r="G73" i="5" s="1"/>
  <c r="D72" i="5"/>
  <c r="G72" i="5" s="1"/>
  <c r="D71" i="5"/>
  <c r="G71" i="5" s="1"/>
  <c r="D70" i="5"/>
  <c r="G70" i="5" s="1"/>
  <c r="D63" i="5"/>
  <c r="G63" i="5" s="1"/>
  <c r="D62" i="5"/>
  <c r="G62" i="5" s="1"/>
  <c r="D61" i="5"/>
  <c r="G61" i="5" s="1"/>
  <c r="D60" i="5"/>
  <c r="G60" i="5" s="1"/>
  <c r="D59" i="5"/>
  <c r="G59" i="5" s="1"/>
  <c r="D58" i="5"/>
  <c r="G58" i="5" s="1"/>
  <c r="D57" i="5"/>
  <c r="G57" i="5" s="1"/>
  <c r="D52" i="5"/>
  <c r="G52" i="5" s="1"/>
  <c r="D50" i="5"/>
  <c r="G50" i="5" s="1"/>
  <c r="D49" i="5"/>
  <c r="G49" i="5" s="1"/>
  <c r="D48" i="5"/>
  <c r="G48" i="5" s="1"/>
  <c r="D47" i="5"/>
  <c r="G47" i="5" s="1"/>
  <c r="D46" i="5"/>
  <c r="G46" i="5" s="1"/>
  <c r="D41" i="5"/>
  <c r="G41" i="5" s="1"/>
  <c r="D40" i="5"/>
  <c r="G40" i="5" s="1"/>
  <c r="D39" i="5"/>
  <c r="G39" i="5" s="1"/>
  <c r="D38" i="5"/>
  <c r="G38" i="5" s="1"/>
  <c r="D37" i="5"/>
  <c r="G37" i="5" s="1"/>
  <c r="D36" i="5"/>
  <c r="G36" i="5" s="1"/>
  <c r="D35" i="5"/>
  <c r="G35" i="5" s="1"/>
  <c r="D29" i="5"/>
  <c r="G29" i="5" s="1"/>
  <c r="D28" i="5"/>
  <c r="G28" i="5" s="1"/>
  <c r="D27" i="5"/>
  <c r="G27" i="5" s="1"/>
  <c r="D26" i="5"/>
  <c r="G26" i="5" s="1"/>
  <c r="D25" i="5"/>
  <c r="G25" i="5" s="1"/>
  <c r="D24" i="5"/>
  <c r="G24" i="5" s="1"/>
  <c r="D19" i="5"/>
  <c r="G19" i="5" s="1"/>
  <c r="D18" i="5"/>
  <c r="G18" i="5" s="1"/>
  <c r="D17" i="5"/>
  <c r="G17" i="5" s="1"/>
  <c r="D16" i="5"/>
  <c r="G16" i="5" s="1"/>
  <c r="D14" i="5"/>
  <c r="G14" i="5" s="1"/>
  <c r="D13" i="5"/>
  <c r="G13" i="5" s="1"/>
  <c r="D5" i="5"/>
  <c r="G5" i="5" s="1"/>
  <c r="D6" i="5"/>
  <c r="G6" i="5" s="1"/>
  <c r="D7" i="5"/>
  <c r="G7" i="5" s="1"/>
  <c r="D8" i="5"/>
  <c r="G8" i="5" s="1"/>
  <c r="M4" i="4" l="1"/>
  <c r="N4" i="4" s="1"/>
  <c r="S2" i="5" l="1"/>
  <c r="T2" i="5" s="1"/>
  <c r="U2" i="5" s="1"/>
  <c r="V2" i="5" s="1"/>
  <c r="G4" i="5"/>
  <c r="R3" i="5"/>
  <c r="R4" i="5" s="1"/>
  <c r="R5" i="5" s="1"/>
  <c r="G3" i="5"/>
  <c r="D2" i="5"/>
  <c r="G2" i="5" s="1"/>
  <c r="R6" i="5" l="1"/>
  <c r="S5" i="5"/>
  <c r="T5" i="5" s="1"/>
  <c r="U5" i="5" s="1"/>
  <c r="V5" i="5" s="1"/>
  <c r="S4" i="5"/>
  <c r="T4" i="5" s="1"/>
  <c r="U4" i="5" s="1"/>
  <c r="V4" i="5" s="1"/>
  <c r="S3" i="5"/>
  <c r="T3" i="5" s="1"/>
  <c r="U3" i="5" s="1"/>
  <c r="V3" i="5" s="1"/>
  <c r="R7" i="5" l="1"/>
  <c r="S6" i="5"/>
  <c r="T6" i="5" s="1"/>
  <c r="U6" i="5" s="1"/>
  <c r="V6" i="5" s="1"/>
  <c r="R8" i="5" l="1"/>
  <c r="S8" i="5" s="1"/>
  <c r="T8" i="5" s="1"/>
  <c r="U8" i="5" s="1"/>
  <c r="V8" i="5" s="1"/>
  <c r="S7" i="5"/>
  <c r="T7" i="5" s="1"/>
  <c r="U7" i="5" s="1"/>
  <c r="V7" i="5" s="1"/>
</calcChain>
</file>

<file path=xl/sharedStrings.xml><?xml version="1.0" encoding="utf-8"?>
<sst xmlns="http://schemas.openxmlformats.org/spreadsheetml/2006/main" count="333" uniqueCount="50">
  <si>
    <t>number of CFU (not diluted)</t>
  </si>
  <si>
    <t>mean in 10 µL</t>
  </si>
  <si>
    <t>feces weights (mg)</t>
  </si>
  <si>
    <t>Log10 CFU/g of feces</t>
  </si>
  <si>
    <t>Dilution factor</t>
  </si>
  <si>
    <t>Strain</t>
  </si>
  <si>
    <t>Slope</t>
  </si>
  <si>
    <t>Intercept</t>
  </si>
  <si>
    <r>
      <t>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</si>
  <si>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r>
      <t>OD 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</si>
  <si>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t>BL48</t>
  </si>
  <si>
    <t>Colony Count</t>
  </si>
  <si>
    <t>Dilution Factor</t>
  </si>
  <si>
    <t>Average CFUs</t>
  </si>
  <si>
    <t>Log CFUs</t>
  </si>
  <si>
    <t>day 7</t>
  </si>
  <si>
    <t>BL48 10^6</t>
  </si>
  <si>
    <t>CFUs/50uL</t>
  </si>
  <si>
    <t>day 6</t>
  </si>
  <si>
    <t>day 1</t>
  </si>
  <si>
    <t>day 2</t>
  </si>
  <si>
    <t>day 3</t>
  </si>
  <si>
    <t>day4</t>
  </si>
  <si>
    <t>day 5</t>
  </si>
  <si>
    <t xml:space="preserve">day 6 </t>
  </si>
  <si>
    <t xml:space="preserve">day 3 </t>
  </si>
  <si>
    <t>day 10</t>
  </si>
  <si>
    <t>day 12</t>
  </si>
  <si>
    <t>BL048 PBS F 6-8wo mouse 1 10^5.6</t>
  </si>
  <si>
    <t>BL048 PBS F 6-8wo mouse 2 10^5.6</t>
  </si>
  <si>
    <t>BL048 PBS F 6-8wo mouse 3 10^5.6</t>
  </si>
  <si>
    <t>BL048 PBS F 6-8wo mouse 4 10^5.6</t>
  </si>
  <si>
    <t>BL048 PBS F 6-8wo mouse 5 10^5.6</t>
  </si>
  <si>
    <t>BL048 PBS M 6-8wo mouse 1 10^5.6</t>
  </si>
  <si>
    <t>BL048 PBS M 6-8wo mouse 2 10^5.6</t>
  </si>
  <si>
    <t>BL048 PBS M 6-8wo mouse 3 10^5.6</t>
  </si>
  <si>
    <t>BL048 PBS M 6-8wo mouse 4 10^5.6</t>
  </si>
  <si>
    <t>BL048 PBS M 6-8wo mouse 5 10^5.6</t>
  </si>
  <si>
    <t>BL048 Vanco F 6-8wo mouse 1 10^5.6</t>
  </si>
  <si>
    <t>BL048 Vanco F 6-8wo mouse 2 10^5.6</t>
  </si>
  <si>
    <t>BL048 Vanco F 6-8wo mouse 3 10^5.6</t>
  </si>
  <si>
    <t>BL048 Vanco F 6-8wo mouse 4 10^5.6</t>
  </si>
  <si>
    <t>BL048 Vanco F 6-8wo mouse 5 10^5.6</t>
  </si>
  <si>
    <t>BL048 Vanco M 6-8wo mouse 1 10^5.6</t>
  </si>
  <si>
    <t>BL048 Vanco M 6-8wo mouse 2 10^5.6</t>
  </si>
  <si>
    <t>BL048 Vanco M 6-8wo mouse 3 10^5.6</t>
  </si>
  <si>
    <t>BL048 Vanco M 6-8wo mouse 4 10^5.6</t>
  </si>
  <si>
    <t>BL048 Vanco M 6-8wo mouse 5 10^5.6</t>
  </si>
  <si>
    <t>day 14</t>
  </si>
  <si>
    <t>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</si>
</sst>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vertAlign val="subscript"/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1" fontId="0" fillId="0" borderId="0" xfId="0" applyNumberFormat="1" applyAlignment="1">
      <alignment horizontal="center" vertical="center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4" borderId="1" xfId="0" applyNumberForma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164" fontId="0" fillId="0" borderId="0" xfId="0" applyNumberFormat="1"/>
    <xf numFmtId="164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Border="1"/>
    <xf numFmtId="0" fontId="0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1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2.22.21</a:t>
            </a:r>
          </a:p>
          <a:p>
            <a:pPr>
              <a:defRPr sz="2000">
                <a:solidFill>
                  <a:schemeClr val="tx1"/>
                </a:solidFill>
              </a:defRPr>
            </a:pPr>
            <a:r>
              <a:rPr lang="en-US" sz="2000" i="0" baseline="0">
                <a:solidFill>
                  <a:schemeClr val="tx1"/>
                </a:solidFill>
              </a:rPr>
              <a:t>Vanco - females - 6-8 wo</a:t>
            </a:r>
          </a:p>
          <a:p>
            <a:pPr>
              <a:defRPr sz="2000">
                <a:solidFill>
                  <a:schemeClr val="tx1"/>
                </a:solidFill>
              </a:defRPr>
            </a:pPr>
            <a:r>
              <a:rPr lang="en-US" sz="2000" i="0" baseline="0">
                <a:solidFill>
                  <a:schemeClr val="tx1"/>
                </a:solidFill>
              </a:rPr>
              <a:t>BL48 log 5.6</a:t>
            </a:r>
          </a:p>
          <a:p>
            <a:pPr>
              <a:defRPr sz="2000">
                <a:solidFill>
                  <a:schemeClr val="tx1"/>
                </a:solidFill>
              </a:defRPr>
            </a:pPr>
            <a:r>
              <a:rPr lang="en-US" sz="2000" baseline="0">
                <a:solidFill>
                  <a:schemeClr val="tx1"/>
                </a:solidFill>
              </a:rPr>
              <a:t>(5 mice)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/>
              </a:solidFill>
              <a:ln w="9525">
                <a:solidFill>
                  <a:schemeClr val="bg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E61-854D-A5CC-C4E6F9701B98}"/>
            </c:ext>
          </c:extLst>
        </c:ser>
        <c:ser>
          <c:idx val="0"/>
          <c:order val="1"/>
          <c:tx>
            <c:strRef>
              <c:f>'feces pos ttmnt - PA 10^5.6'!$A$1</c:f>
              <c:strCache>
                <c:ptCount val="1"/>
                <c:pt idx="0">
                  <c:v>BL048 PBS F 6-8wo mouse 1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 10^5.6'!$R$2:$R$10</c:f>
              <c:numCache>
                <c:formatCode>General</c:formatCode>
                <c:ptCount val="9"/>
                <c:pt idx="0">
                  <c:v>0.8</c:v>
                </c:pt>
                <c:pt idx="1">
                  <c:v>1.8</c:v>
                </c:pt>
                <c:pt idx="2">
                  <c:v>2.8</c:v>
                </c:pt>
                <c:pt idx="3">
                  <c:v>3.8</c:v>
                </c:pt>
                <c:pt idx="4">
                  <c:v>4.8</c:v>
                </c:pt>
                <c:pt idx="5">
                  <c:v>5.8</c:v>
                </c:pt>
                <c:pt idx="6">
                  <c:v>6.8</c:v>
                </c:pt>
                <c:pt idx="7">
                  <c:v>9.8000000000000007</c:v>
                </c:pt>
                <c:pt idx="8">
                  <c:v>11.8</c:v>
                </c:pt>
              </c:numCache>
            </c:numRef>
          </c:xVal>
          <c:yVal>
            <c:numRef>
              <c:f>'feces pos ttmnt - PA 10^5.6'!$G$2:$G$10</c:f>
              <c:numCache>
                <c:formatCode>0.000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E61-854D-A5CC-C4E6F9701B98}"/>
            </c:ext>
          </c:extLst>
        </c:ser>
        <c:ser>
          <c:idx val="3"/>
          <c:order val="2"/>
          <c:tx>
            <c:strRef>
              <c:f>'feces pos ttmnt - PA 10^5.6'!$A$12</c:f>
              <c:strCache>
                <c:ptCount val="1"/>
                <c:pt idx="0">
                  <c:v>BL048 PBS F 6-8wo mouse 2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 10^5.6'!$S$2:$S$10</c:f>
              <c:numCache>
                <c:formatCode>General</c:formatCode>
                <c:ptCount val="9"/>
                <c:pt idx="0">
                  <c:v>0.9</c:v>
                </c:pt>
                <c:pt idx="1">
                  <c:v>1.9000000000000001</c:v>
                </c:pt>
                <c:pt idx="2">
                  <c:v>2.9</c:v>
                </c:pt>
                <c:pt idx="3">
                  <c:v>3.9</c:v>
                </c:pt>
                <c:pt idx="4">
                  <c:v>4.8999999999999995</c:v>
                </c:pt>
                <c:pt idx="5">
                  <c:v>5.8999999999999995</c:v>
                </c:pt>
                <c:pt idx="6">
                  <c:v>6.8999999999999995</c:v>
                </c:pt>
                <c:pt idx="7">
                  <c:v>9.9</c:v>
                </c:pt>
                <c:pt idx="8">
                  <c:v>11.9</c:v>
                </c:pt>
              </c:numCache>
            </c:numRef>
          </c:xVal>
          <c:yVal>
            <c:numRef>
              <c:f>'feces pos ttmnt - PA 10^5.6'!$G$13:$G$20</c:f>
              <c:numCache>
                <c:formatCode>0.000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A2D-5647-91B9-F53F3660216C}"/>
            </c:ext>
          </c:extLst>
        </c:ser>
        <c:ser>
          <c:idx val="1"/>
          <c:order val="3"/>
          <c:tx>
            <c:strRef>
              <c:f>'feces pos ttmnt - PA 10^5.6'!$A$23</c:f>
              <c:strCache>
                <c:ptCount val="1"/>
                <c:pt idx="0">
                  <c:v>BL048 PBS F 6-8wo mouse 3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 10^5.6'!$T$2:$T$10</c:f>
              <c:numCache>
                <c:formatCode>General</c:formatCode>
                <c:ptCount val="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4.9999999999999991</c:v>
                </c:pt>
                <c:pt idx="5">
                  <c:v>5.9999999999999991</c:v>
                </c:pt>
                <c:pt idx="6">
                  <c:v>6.9999999999999991</c:v>
                </c:pt>
                <c:pt idx="7">
                  <c:v>10</c:v>
                </c:pt>
                <c:pt idx="8">
                  <c:v>12</c:v>
                </c:pt>
              </c:numCache>
            </c:numRef>
          </c:xVal>
          <c:yVal>
            <c:numRef>
              <c:f>'feces pos ttmnt - PA 10^5.6'!$G$24:$G$32</c:f>
              <c:numCache>
                <c:formatCode>0.000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EFA-1347-87CD-483D112FA540}"/>
            </c:ext>
          </c:extLst>
        </c:ser>
        <c:ser>
          <c:idx val="2"/>
          <c:order val="4"/>
          <c:tx>
            <c:strRef>
              <c:f>'feces pos ttmnt - PA 10^5.6'!$A$34</c:f>
              <c:strCache>
                <c:ptCount val="1"/>
                <c:pt idx="0">
                  <c:v>BL048 PBS F 6-8wo mouse 4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 10^5.6'!$U$2:$U$10</c:f>
              <c:numCache>
                <c:formatCode>General</c:formatCode>
                <c:ptCount val="9"/>
                <c:pt idx="0">
                  <c:v>1.1000000000000001</c:v>
                </c:pt>
                <c:pt idx="1">
                  <c:v>2.1</c:v>
                </c:pt>
                <c:pt idx="2">
                  <c:v>3.1</c:v>
                </c:pt>
                <c:pt idx="3">
                  <c:v>4.0999999999999996</c:v>
                </c:pt>
                <c:pt idx="4">
                  <c:v>5.0999999999999988</c:v>
                </c:pt>
                <c:pt idx="5">
                  <c:v>6.0999999999999988</c:v>
                </c:pt>
                <c:pt idx="6">
                  <c:v>7.0999999999999988</c:v>
                </c:pt>
                <c:pt idx="7">
                  <c:v>10.1</c:v>
                </c:pt>
                <c:pt idx="8">
                  <c:v>12.1</c:v>
                </c:pt>
              </c:numCache>
            </c:numRef>
          </c:xVal>
          <c:yVal>
            <c:numRef>
              <c:f>'feces pos ttmnt - PA 10^5.6'!$G$35:$G$41</c:f>
              <c:numCache>
                <c:formatCode>0.000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D9E-2B46-A0C3-F3E754072A87}"/>
            </c:ext>
          </c:extLst>
        </c:ser>
        <c:ser>
          <c:idx val="4"/>
          <c:order val="5"/>
          <c:tx>
            <c:strRef>
              <c:f>'feces pos ttmnt - PA 10^5.6'!$A$45</c:f>
              <c:strCache>
                <c:ptCount val="1"/>
                <c:pt idx="0">
                  <c:v>BL048 PBS F 6-8wo mouse 5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'feces pos ttmnt - PA 10^5.6'!$V$2:$V$10</c:f>
              <c:numCache>
                <c:formatCode>General</c:formatCode>
                <c:ptCount val="9"/>
                <c:pt idx="0">
                  <c:v>1.2000000000000002</c:v>
                </c:pt>
                <c:pt idx="1">
                  <c:v>2.2000000000000002</c:v>
                </c:pt>
                <c:pt idx="2">
                  <c:v>3.2</c:v>
                </c:pt>
                <c:pt idx="3">
                  <c:v>4.1999999999999993</c:v>
                </c:pt>
                <c:pt idx="4">
                  <c:v>5.1999999999999984</c:v>
                </c:pt>
                <c:pt idx="5">
                  <c:v>6.1999999999999984</c:v>
                </c:pt>
                <c:pt idx="6">
                  <c:v>7.1999999999999984</c:v>
                </c:pt>
                <c:pt idx="7">
                  <c:v>10.199999999999999</c:v>
                </c:pt>
                <c:pt idx="8">
                  <c:v>12.2</c:v>
                </c:pt>
              </c:numCache>
            </c:numRef>
          </c:xVal>
          <c:yVal>
            <c:numRef>
              <c:f>'feces pos ttmnt - PA 10^5.6'!$G$46:$G$53</c:f>
              <c:numCache>
                <c:formatCode>0.000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A2D-5647-91B9-F53F366021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3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2.22.21</a:t>
            </a:r>
            <a:endParaRPr lang="en-US">
              <a:effectLst/>
            </a:endParaRPr>
          </a:p>
          <a:p>
            <a:pPr>
              <a:defRPr sz="2000">
                <a:solidFill>
                  <a:schemeClr val="tx1"/>
                </a:solidFill>
              </a:defRPr>
            </a:pPr>
            <a:r>
              <a:rPr lang="en-US" sz="1800" b="0" i="0" baseline="0">
                <a:effectLst/>
              </a:rPr>
              <a:t>Vanco - males - 6-8 wo</a:t>
            </a:r>
            <a:endParaRPr lang="en-US">
              <a:effectLst/>
            </a:endParaRPr>
          </a:p>
          <a:p>
            <a:pPr>
              <a:defRPr sz="2000">
                <a:solidFill>
                  <a:schemeClr val="tx1"/>
                </a:solidFill>
              </a:defRPr>
            </a:pPr>
            <a:r>
              <a:rPr lang="en-US" sz="1800" b="0" i="0" baseline="0">
                <a:effectLst/>
              </a:rPr>
              <a:t>BL48 log 5.6</a:t>
            </a:r>
            <a:endParaRPr lang="en-US">
              <a:effectLst/>
            </a:endParaRPr>
          </a:p>
          <a:p>
            <a:pPr>
              <a:defRPr sz="2000">
                <a:solidFill>
                  <a:schemeClr val="tx1"/>
                </a:solidFill>
              </a:defRPr>
            </a:pPr>
            <a:r>
              <a:rPr lang="en-US" sz="1800" b="0" i="0" baseline="0">
                <a:effectLst/>
              </a:rPr>
              <a:t>(5 mice)</a:t>
            </a:r>
            <a:endParaRPr lang="en-US">
              <a:effectLst/>
            </a:endParaRP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dPt>
            <c:idx val="0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2-8508-094E-9288-5A04DDB60189}"/>
              </c:ext>
            </c:extLst>
          </c:dPt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18.89999999999999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837-3741-A579-2DB0494A277D}"/>
            </c:ext>
          </c:extLst>
        </c:ser>
        <c:ser>
          <c:idx val="0"/>
          <c:order val="1"/>
          <c:tx>
            <c:strRef>
              <c:f>'feces pos ttmnt - PA 10^5.6'!$A$56</c:f>
              <c:strCache>
                <c:ptCount val="1"/>
                <c:pt idx="0">
                  <c:v>BL048 PBS M 6-8wo mouse 1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 10^5.6'!$R$2:$R$13</c:f>
              <c:numCache>
                <c:formatCode>General</c:formatCode>
                <c:ptCount val="12"/>
                <c:pt idx="0">
                  <c:v>0.8</c:v>
                </c:pt>
                <c:pt idx="1">
                  <c:v>1.8</c:v>
                </c:pt>
                <c:pt idx="2">
                  <c:v>2.8</c:v>
                </c:pt>
                <c:pt idx="3">
                  <c:v>3.8</c:v>
                </c:pt>
                <c:pt idx="4">
                  <c:v>4.8</c:v>
                </c:pt>
                <c:pt idx="5">
                  <c:v>5.8</c:v>
                </c:pt>
                <c:pt idx="6">
                  <c:v>6.8</c:v>
                </c:pt>
                <c:pt idx="7">
                  <c:v>9.8000000000000007</c:v>
                </c:pt>
                <c:pt idx="8">
                  <c:v>11.8</c:v>
                </c:pt>
                <c:pt idx="9">
                  <c:v>13.8</c:v>
                </c:pt>
              </c:numCache>
            </c:numRef>
          </c:xVal>
          <c:yVal>
            <c:numRef>
              <c:f>'feces pos ttmnt - PA 10^5.6'!$G$57:$G$68</c:f>
              <c:numCache>
                <c:formatCode>0.000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837-3741-A579-2DB0494A277D}"/>
            </c:ext>
          </c:extLst>
        </c:ser>
        <c:ser>
          <c:idx val="1"/>
          <c:order val="2"/>
          <c:tx>
            <c:strRef>
              <c:f>'feces pos ttmnt - PA 10^5.6'!$A$69</c:f>
              <c:strCache>
                <c:ptCount val="1"/>
                <c:pt idx="0">
                  <c:v>BL048 PBS M 6-8wo mouse 2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 10^5.6'!$S$2:$S$9</c:f>
              <c:numCache>
                <c:formatCode>General</c:formatCode>
                <c:ptCount val="8"/>
                <c:pt idx="0">
                  <c:v>0.9</c:v>
                </c:pt>
                <c:pt idx="1">
                  <c:v>1.9000000000000001</c:v>
                </c:pt>
                <c:pt idx="2">
                  <c:v>2.9</c:v>
                </c:pt>
                <c:pt idx="3">
                  <c:v>3.9</c:v>
                </c:pt>
                <c:pt idx="4">
                  <c:v>4.8999999999999995</c:v>
                </c:pt>
                <c:pt idx="5">
                  <c:v>5.8999999999999995</c:v>
                </c:pt>
                <c:pt idx="6">
                  <c:v>6.8999999999999995</c:v>
                </c:pt>
                <c:pt idx="7">
                  <c:v>9.9</c:v>
                </c:pt>
              </c:numCache>
            </c:numRef>
          </c:xVal>
          <c:yVal>
            <c:numRef>
              <c:f>'feces pos ttmnt - PA 10^5.6'!$G$70:$G$77</c:f>
              <c:numCache>
                <c:formatCode>0.000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DA7-2B42-9493-22AADE4405A5}"/>
            </c:ext>
          </c:extLst>
        </c:ser>
        <c:ser>
          <c:idx val="3"/>
          <c:order val="3"/>
          <c:tx>
            <c:strRef>
              <c:f>'feces pos ttmnt - PA 10^5.6'!$A$80</c:f>
              <c:strCache>
                <c:ptCount val="1"/>
                <c:pt idx="0">
                  <c:v>BL048 PBS M 6-8wo mouse 3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 10^5.6'!$U$2:$U$10</c:f>
              <c:numCache>
                <c:formatCode>General</c:formatCode>
                <c:ptCount val="9"/>
                <c:pt idx="0">
                  <c:v>1.1000000000000001</c:v>
                </c:pt>
                <c:pt idx="1">
                  <c:v>2.1</c:v>
                </c:pt>
                <c:pt idx="2">
                  <c:v>3.1</c:v>
                </c:pt>
                <c:pt idx="3">
                  <c:v>4.0999999999999996</c:v>
                </c:pt>
                <c:pt idx="4">
                  <c:v>5.0999999999999988</c:v>
                </c:pt>
                <c:pt idx="5">
                  <c:v>6.0999999999999988</c:v>
                </c:pt>
                <c:pt idx="6">
                  <c:v>7.0999999999999988</c:v>
                </c:pt>
                <c:pt idx="7">
                  <c:v>10.1</c:v>
                </c:pt>
                <c:pt idx="8">
                  <c:v>12.1</c:v>
                </c:pt>
              </c:numCache>
            </c:numRef>
          </c:xVal>
          <c:yVal>
            <c:numRef>
              <c:f>'feces pos ttmnt - PA 10^5.6'!$G$81:$G$89</c:f>
              <c:numCache>
                <c:formatCode>0.000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D837-3741-A579-2DB0494A277D}"/>
            </c:ext>
          </c:extLst>
        </c:ser>
        <c:ser>
          <c:idx val="2"/>
          <c:order val="4"/>
          <c:tx>
            <c:strRef>
              <c:f>'feces pos ttmnt - PA 10^5.6'!$A$91</c:f>
              <c:strCache>
                <c:ptCount val="1"/>
                <c:pt idx="0">
                  <c:v>BL048 PBS M 6-8wo mouse 4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 10^5.6'!$U$2:$U$13</c:f>
              <c:numCache>
                <c:formatCode>General</c:formatCode>
                <c:ptCount val="12"/>
                <c:pt idx="0">
                  <c:v>1.1000000000000001</c:v>
                </c:pt>
                <c:pt idx="1">
                  <c:v>2.1</c:v>
                </c:pt>
                <c:pt idx="2">
                  <c:v>3.1</c:v>
                </c:pt>
                <c:pt idx="3">
                  <c:v>4.0999999999999996</c:v>
                </c:pt>
                <c:pt idx="4">
                  <c:v>5.0999999999999988</c:v>
                </c:pt>
                <c:pt idx="5">
                  <c:v>6.0999999999999988</c:v>
                </c:pt>
                <c:pt idx="6">
                  <c:v>7.0999999999999988</c:v>
                </c:pt>
                <c:pt idx="7">
                  <c:v>10.1</c:v>
                </c:pt>
                <c:pt idx="8">
                  <c:v>12.1</c:v>
                </c:pt>
                <c:pt idx="9">
                  <c:v>14.1</c:v>
                </c:pt>
              </c:numCache>
            </c:numRef>
          </c:xVal>
          <c:yVal>
            <c:numRef>
              <c:f>'feces pos ttmnt - PA 10^5.6'!$G$92:$G$103</c:f>
              <c:numCache>
                <c:formatCode>0.000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508-094E-9288-5A04DDB60189}"/>
            </c:ext>
          </c:extLst>
        </c:ser>
        <c:ser>
          <c:idx val="4"/>
          <c:order val="5"/>
          <c:tx>
            <c:strRef>
              <c:f>'feces pos ttmnt - PA 10^5.6'!$A$104</c:f>
              <c:strCache>
                <c:ptCount val="1"/>
                <c:pt idx="0">
                  <c:v>BL048 PBS M 6-8wo mouse 5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'feces pos ttmnt - PA 10^5.6'!$V$2:$V$13</c:f>
              <c:numCache>
                <c:formatCode>General</c:formatCode>
                <c:ptCount val="12"/>
                <c:pt idx="0">
                  <c:v>1.2000000000000002</c:v>
                </c:pt>
                <c:pt idx="1">
                  <c:v>2.2000000000000002</c:v>
                </c:pt>
                <c:pt idx="2">
                  <c:v>3.2</c:v>
                </c:pt>
                <c:pt idx="3">
                  <c:v>4.1999999999999993</c:v>
                </c:pt>
                <c:pt idx="4">
                  <c:v>5.1999999999999984</c:v>
                </c:pt>
                <c:pt idx="5">
                  <c:v>6.1999999999999984</c:v>
                </c:pt>
                <c:pt idx="6">
                  <c:v>7.1999999999999984</c:v>
                </c:pt>
                <c:pt idx="7">
                  <c:v>10.199999999999999</c:v>
                </c:pt>
                <c:pt idx="8">
                  <c:v>12.2</c:v>
                </c:pt>
                <c:pt idx="9">
                  <c:v>14.2</c:v>
                </c:pt>
              </c:numCache>
            </c:numRef>
          </c:xVal>
          <c:yVal>
            <c:numRef>
              <c:f>'feces pos ttmnt - PA 10^5.6'!$G$105:$G$116</c:f>
              <c:numCache>
                <c:formatCode>0.000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508-094E-9288-5A04DDB60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21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800">
                <a:solidFill>
                  <a:schemeClr val="tx1"/>
                </a:solidFill>
              </a:rPr>
              <a:t>2.22.21</a:t>
            </a:r>
          </a:p>
          <a:p>
            <a:pPr>
              <a:defRPr sz="18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800" baseline="0">
                <a:solidFill>
                  <a:schemeClr val="tx1"/>
                </a:solidFill>
              </a:rPr>
              <a:t>Females vs males (red vs blue)</a:t>
            </a:r>
          </a:p>
          <a:p>
            <a:pPr>
              <a:defRPr sz="18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800" i="0" baseline="0">
                <a:solidFill>
                  <a:schemeClr val="tx1"/>
                </a:solidFill>
              </a:rPr>
              <a:t>BL48 log 5.6</a:t>
            </a:r>
          </a:p>
          <a:p>
            <a:pPr>
              <a:defRPr sz="18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800" baseline="0">
                <a:solidFill>
                  <a:schemeClr val="tx1"/>
                </a:solidFill>
              </a:rPr>
              <a:t>(5 mice, n=1)</a:t>
            </a:r>
          </a:p>
        </c:rich>
      </c:tx>
      <c:layout>
        <c:manualLayout>
          <c:xMode val="edge"/>
          <c:yMode val="edge"/>
          <c:x val="0.37815282466190508"/>
          <c:y val="5.42172494869902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9651814598600559E-2"/>
          <c:y val="0.10946316037235267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chemeClr val="bg1"/>
              </a:solidFill>
              <a:ln w="9525">
                <a:solidFill>
                  <a:schemeClr val="bg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6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70F0-BB48-B50D-2858074BEBE1}"/>
            </c:ext>
          </c:extLst>
        </c:ser>
        <c:ser>
          <c:idx val="0"/>
          <c:order val="1"/>
          <c:tx>
            <c:strRef>
              <c:f>'feces pos ttmnt - PA 10^5.6'!$A$118</c:f>
              <c:strCache>
                <c:ptCount val="1"/>
                <c:pt idx="0">
                  <c:v>BL048 Vanco F 6-8wo mouse 1 10^5.6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xVal>
            <c:numRef>
              <c:f>'feces pos ttmnt - PA 10^5.6'!$R$2:$R$11</c:f>
              <c:numCache>
                <c:formatCode>General</c:formatCode>
                <c:ptCount val="10"/>
                <c:pt idx="0">
                  <c:v>0.8</c:v>
                </c:pt>
                <c:pt idx="1">
                  <c:v>1.8</c:v>
                </c:pt>
                <c:pt idx="2">
                  <c:v>2.8</c:v>
                </c:pt>
                <c:pt idx="3">
                  <c:v>3.8</c:v>
                </c:pt>
                <c:pt idx="4">
                  <c:v>4.8</c:v>
                </c:pt>
                <c:pt idx="5">
                  <c:v>5.8</c:v>
                </c:pt>
                <c:pt idx="6">
                  <c:v>6.8</c:v>
                </c:pt>
                <c:pt idx="7">
                  <c:v>9.8000000000000007</c:v>
                </c:pt>
                <c:pt idx="8">
                  <c:v>11.8</c:v>
                </c:pt>
                <c:pt idx="9">
                  <c:v>13.8</c:v>
                </c:pt>
              </c:numCache>
            </c:numRef>
          </c:xVal>
          <c:yVal>
            <c:numRef>
              <c:f>'feces pos ttmnt - PA 10^5.6'!$G$119:$G$128</c:f>
              <c:numCache>
                <c:formatCode>0.000</c:formatCode>
                <c:ptCount val="10"/>
                <c:pt idx="0">
                  <c:v>3.697524763461836</c:v>
                </c:pt>
                <c:pt idx="1">
                  <c:v>7.4365877082825751</c:v>
                </c:pt>
                <c:pt idx="2">
                  <c:v>8.5257837359237456</c:v>
                </c:pt>
                <c:pt idx="3">
                  <c:v>8.2816169546198424</c:v>
                </c:pt>
                <c:pt idx="4">
                  <c:v>8.7897774183572217</c:v>
                </c:pt>
                <c:pt idx="5">
                  <c:v>8.5633074023359459</c:v>
                </c:pt>
                <c:pt idx="6">
                  <c:v>7.3231757951307559</c:v>
                </c:pt>
                <c:pt idx="7">
                  <c:v>6.6724762792402625</c:v>
                </c:pt>
                <c:pt idx="8">
                  <c:v>7.5656440376135601</c:v>
                </c:pt>
                <c:pt idx="9">
                  <c:v>6.3449530823066258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929-C845-A315-AB55EB65E31E}"/>
            </c:ext>
          </c:extLst>
        </c:ser>
        <c:ser>
          <c:idx val="16"/>
          <c:order val="2"/>
          <c:tx>
            <c:strRef>
              <c:f>'feces pos ttmnt - PA 10^5.6'!$A$129</c:f>
              <c:strCache>
                <c:ptCount val="1"/>
                <c:pt idx="0">
                  <c:v>BL048 Vanco F 6-8wo mouse 2 10^5.6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xVal>
            <c:numRef>
              <c:f>'feces pos ttmnt - PA 10^5.6'!$S$2:$S$13</c:f>
              <c:numCache>
                <c:formatCode>General</c:formatCode>
                <c:ptCount val="12"/>
                <c:pt idx="0">
                  <c:v>0.9</c:v>
                </c:pt>
                <c:pt idx="1">
                  <c:v>1.9000000000000001</c:v>
                </c:pt>
                <c:pt idx="2">
                  <c:v>2.9</c:v>
                </c:pt>
                <c:pt idx="3">
                  <c:v>3.9</c:v>
                </c:pt>
                <c:pt idx="4">
                  <c:v>4.8999999999999995</c:v>
                </c:pt>
                <c:pt idx="5">
                  <c:v>5.8999999999999995</c:v>
                </c:pt>
                <c:pt idx="6">
                  <c:v>6.8999999999999995</c:v>
                </c:pt>
                <c:pt idx="7">
                  <c:v>9.9</c:v>
                </c:pt>
                <c:pt idx="8">
                  <c:v>11.9</c:v>
                </c:pt>
                <c:pt idx="9">
                  <c:v>13.9</c:v>
                </c:pt>
              </c:numCache>
            </c:numRef>
          </c:xVal>
          <c:yVal>
            <c:numRef>
              <c:f>'feces pos ttmnt - PA 10^5.6'!$G$130:$G$141</c:f>
              <c:numCache>
                <c:formatCode>0.000</c:formatCode>
                <c:ptCount val="12"/>
                <c:pt idx="0">
                  <c:v>8.0558077287178236</c:v>
                </c:pt>
                <c:pt idx="1">
                  <c:v>8.0663973974233762</c:v>
                </c:pt>
                <c:pt idx="2">
                  <c:v>7.9061407384965623</c:v>
                </c:pt>
                <c:pt idx="3">
                  <c:v>8.0765393654187978</c:v>
                </c:pt>
                <c:pt idx="4">
                  <c:v>7.6016259138486442</c:v>
                </c:pt>
                <c:pt idx="5">
                  <c:v>8.6667853209646175</c:v>
                </c:pt>
                <c:pt idx="6">
                  <c:v>7.5423703800560835</c:v>
                </c:pt>
                <c:pt idx="7">
                  <c:v>6.0621479067488444</c:v>
                </c:pt>
                <c:pt idx="8">
                  <c:v>5.9792705151412555</c:v>
                </c:pt>
                <c:pt idx="9">
                  <c:v>3.8437716374174364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0DF9-7845-A68B-461DD9DFB884}"/>
            </c:ext>
          </c:extLst>
        </c:ser>
        <c:ser>
          <c:idx val="17"/>
          <c:order val="3"/>
          <c:tx>
            <c:strRef>
              <c:f>'feces pos ttmnt - PA 10^5.6'!$A$142</c:f>
              <c:strCache>
                <c:ptCount val="1"/>
                <c:pt idx="0">
                  <c:v>BL048 Vanco F 6-8wo mouse 3 10^5.6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xVal>
            <c:numRef>
              <c:f>'feces pos ttmnt - PA 10^5.6'!$T$2:$T$13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4.9999999999999991</c:v>
                </c:pt>
                <c:pt idx="5">
                  <c:v>5.9999999999999991</c:v>
                </c:pt>
                <c:pt idx="6">
                  <c:v>6.9999999999999991</c:v>
                </c:pt>
                <c:pt idx="7">
                  <c:v>10</c:v>
                </c:pt>
                <c:pt idx="8">
                  <c:v>12</c:v>
                </c:pt>
                <c:pt idx="9">
                  <c:v>14</c:v>
                </c:pt>
              </c:numCache>
            </c:numRef>
          </c:xVal>
          <c:yVal>
            <c:numRef>
              <c:f>'feces pos ttmnt - PA 10^5.6'!$G$143:$G$154</c:f>
              <c:numCache>
                <c:formatCode>0.000</c:formatCode>
                <c:ptCount val="12"/>
                <c:pt idx="0">
                  <c:v>7.5946780377053624</c:v>
                </c:pt>
                <c:pt idx="1">
                  <c:v>8.0549981472955867</c:v>
                </c:pt>
                <c:pt idx="2">
                  <c:v>7.8416375079047498</c:v>
                </c:pt>
                <c:pt idx="3">
                  <c:v>8.1042092517495554</c:v>
                </c:pt>
                <c:pt idx="4">
                  <c:v>8.0666252091035879</c:v>
                </c:pt>
                <c:pt idx="5">
                  <c:v>9.0156050733305744</c:v>
                </c:pt>
                <c:pt idx="6">
                  <c:v>8.7058260401796765</c:v>
                </c:pt>
                <c:pt idx="7">
                  <c:v>7.3705017603250997</c:v>
                </c:pt>
                <c:pt idx="8">
                  <c:v>6.4212891774533336</c:v>
                </c:pt>
                <c:pt idx="9">
                  <c:v>5.1521296312665088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0DF9-7845-A68B-461DD9DFB884}"/>
            </c:ext>
          </c:extLst>
        </c:ser>
        <c:ser>
          <c:idx val="18"/>
          <c:order val="4"/>
          <c:tx>
            <c:strRef>
              <c:f>'feces pos ttmnt - PA 10^5.6'!$A$155</c:f>
              <c:strCache>
                <c:ptCount val="1"/>
                <c:pt idx="0">
                  <c:v>BL048 Vanco F 6-8wo mouse 4 10^5.6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xVal>
            <c:numRef>
              <c:f>'feces pos ttmnt - PA 10^5.6'!$U$2:$U$12</c:f>
              <c:numCache>
                <c:formatCode>General</c:formatCode>
                <c:ptCount val="11"/>
                <c:pt idx="0">
                  <c:v>1.1000000000000001</c:v>
                </c:pt>
                <c:pt idx="1">
                  <c:v>2.1</c:v>
                </c:pt>
                <c:pt idx="2">
                  <c:v>3.1</c:v>
                </c:pt>
                <c:pt idx="3">
                  <c:v>4.0999999999999996</c:v>
                </c:pt>
                <c:pt idx="4">
                  <c:v>5.0999999999999988</c:v>
                </c:pt>
                <c:pt idx="5">
                  <c:v>6.0999999999999988</c:v>
                </c:pt>
                <c:pt idx="6">
                  <c:v>7.0999999999999988</c:v>
                </c:pt>
                <c:pt idx="7">
                  <c:v>10.1</c:v>
                </c:pt>
                <c:pt idx="8">
                  <c:v>12.1</c:v>
                </c:pt>
                <c:pt idx="9">
                  <c:v>14.1</c:v>
                </c:pt>
              </c:numCache>
            </c:numRef>
          </c:xVal>
          <c:yVal>
            <c:numRef>
              <c:f>'feces pos ttmnt - PA 10^5.6'!$G$156:$G$165</c:f>
              <c:numCache>
                <c:formatCode>0.000</c:formatCode>
                <c:ptCount val="10"/>
                <c:pt idx="0">
                  <c:v>4.0087739243075076</c:v>
                </c:pt>
                <c:pt idx="1">
                  <c:v>0</c:v>
                </c:pt>
                <c:pt idx="2">
                  <c:v>4.3615107430453603</c:v>
                </c:pt>
                <c:pt idx="3">
                  <c:v>4.4580766241163134</c:v>
                </c:pt>
                <c:pt idx="4">
                  <c:v>4.6886700476962044</c:v>
                </c:pt>
                <c:pt idx="5">
                  <c:v>4.6854675339323739</c:v>
                </c:pt>
                <c:pt idx="6">
                  <c:v>4.9138379805251651</c:v>
                </c:pt>
                <c:pt idx="7">
                  <c:v>6.8622240386865272</c:v>
                </c:pt>
                <c:pt idx="8">
                  <c:v>6.7184677940352993</c:v>
                </c:pt>
                <c:pt idx="9">
                  <c:v>7.2056115507456706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0DF9-7845-A68B-461DD9DFB884}"/>
            </c:ext>
          </c:extLst>
        </c:ser>
        <c:ser>
          <c:idx val="19"/>
          <c:order val="5"/>
          <c:tx>
            <c:strRef>
              <c:f>'feces pos ttmnt - PA 10^5.6'!$A$166</c:f>
              <c:strCache>
                <c:ptCount val="1"/>
                <c:pt idx="0">
                  <c:v>BL048 Vanco F 6-8wo mouse 5 10^5.6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xVal>
            <c:numRef>
              <c:f>'feces pos ttmnt - PA 10^5.6'!$V$2:$V$11</c:f>
              <c:numCache>
                <c:formatCode>General</c:formatCode>
                <c:ptCount val="10"/>
                <c:pt idx="0">
                  <c:v>1.2000000000000002</c:v>
                </c:pt>
                <c:pt idx="1">
                  <c:v>2.2000000000000002</c:v>
                </c:pt>
                <c:pt idx="2">
                  <c:v>3.2</c:v>
                </c:pt>
                <c:pt idx="3">
                  <c:v>4.1999999999999993</c:v>
                </c:pt>
                <c:pt idx="4">
                  <c:v>5.1999999999999984</c:v>
                </c:pt>
                <c:pt idx="5">
                  <c:v>6.1999999999999984</c:v>
                </c:pt>
                <c:pt idx="6">
                  <c:v>7.1999999999999984</c:v>
                </c:pt>
                <c:pt idx="7">
                  <c:v>10.199999999999999</c:v>
                </c:pt>
                <c:pt idx="8">
                  <c:v>12.2</c:v>
                </c:pt>
                <c:pt idx="9">
                  <c:v>14.2</c:v>
                </c:pt>
              </c:numCache>
            </c:numRef>
          </c:xVal>
          <c:yVal>
            <c:numRef>
              <c:f>'feces pos ttmnt - PA 10^5.6'!$G$167:$G$176</c:f>
              <c:numCache>
                <c:formatCode>0.000</c:formatCode>
                <c:ptCount val="10"/>
                <c:pt idx="0">
                  <c:v>8.3372421683184275</c:v>
                </c:pt>
                <c:pt idx="1">
                  <c:v>8.1700533040583636</c:v>
                </c:pt>
                <c:pt idx="2">
                  <c:v>8.0779744526850656</c:v>
                </c:pt>
                <c:pt idx="3">
                  <c:v>7.8534744407407775</c:v>
                </c:pt>
                <c:pt idx="4">
                  <c:v>8.366653246671989</c:v>
                </c:pt>
                <c:pt idx="6">
                  <c:v>7.844204050936411</c:v>
                </c:pt>
                <c:pt idx="7">
                  <c:v>7.1588681472033446</c:v>
                </c:pt>
                <c:pt idx="8">
                  <c:v>7.5963076624388677</c:v>
                </c:pt>
                <c:pt idx="9">
                  <c:v>3.4788619162959642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0DF9-7845-A68B-461DD9DFB884}"/>
            </c:ext>
          </c:extLst>
        </c:ser>
        <c:ser>
          <c:idx val="1"/>
          <c:order val="6"/>
          <c:tx>
            <c:strRef>
              <c:f>'feces pos ttmnt - PA 10^5.6'!$A$179</c:f>
              <c:strCache>
                <c:ptCount val="1"/>
                <c:pt idx="0">
                  <c:v>BL048 Vanco M 6-8wo mouse 1 10^5.6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'feces pos ttmnt - PA 10^5.6'!$R$2:$R$11</c:f>
              <c:numCache>
                <c:formatCode>General</c:formatCode>
                <c:ptCount val="10"/>
                <c:pt idx="0">
                  <c:v>0.8</c:v>
                </c:pt>
                <c:pt idx="1">
                  <c:v>1.8</c:v>
                </c:pt>
                <c:pt idx="2">
                  <c:v>2.8</c:v>
                </c:pt>
                <c:pt idx="3">
                  <c:v>3.8</c:v>
                </c:pt>
                <c:pt idx="4">
                  <c:v>4.8</c:v>
                </c:pt>
                <c:pt idx="5">
                  <c:v>5.8</c:v>
                </c:pt>
                <c:pt idx="6">
                  <c:v>6.8</c:v>
                </c:pt>
                <c:pt idx="7">
                  <c:v>9.8000000000000007</c:v>
                </c:pt>
                <c:pt idx="8">
                  <c:v>11.8</c:v>
                </c:pt>
                <c:pt idx="9">
                  <c:v>13.8</c:v>
                </c:pt>
              </c:numCache>
            </c:numRef>
          </c:xVal>
          <c:yVal>
            <c:numRef>
              <c:f>'feces pos ttmnt - PA 10^5.6'!$G$180:$G$189</c:f>
              <c:numCache>
                <c:formatCode>0.000</c:formatCode>
                <c:ptCount val="10"/>
                <c:pt idx="0">
                  <c:v>4.2667135482246898</c:v>
                </c:pt>
                <c:pt idx="1">
                  <c:v>7.4482863138090041</c:v>
                </c:pt>
                <c:pt idx="2">
                  <c:v>7.5114492834995561</c:v>
                </c:pt>
                <c:pt idx="3">
                  <c:v>7.3000659675613644</c:v>
                </c:pt>
                <c:pt idx="4">
                  <c:v>6.5584619612978399</c:v>
                </c:pt>
                <c:pt idx="5">
                  <c:v>7.0729097366042923</c:v>
                </c:pt>
                <c:pt idx="6">
                  <c:v>6.1056335814129135</c:v>
                </c:pt>
                <c:pt idx="7">
                  <c:v>6.8436527991400755</c:v>
                </c:pt>
                <c:pt idx="8">
                  <c:v>5.1186425197559471</c:v>
                </c:pt>
                <c:pt idx="9">
                  <c:v>4.7888383693354291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929-C845-A315-AB55EB65E31E}"/>
            </c:ext>
          </c:extLst>
        </c:ser>
        <c:ser>
          <c:idx val="2"/>
          <c:order val="7"/>
          <c:tx>
            <c:strRef>
              <c:f>'feces pos ttmnt - PA 10^5.6'!$A$192</c:f>
              <c:strCache>
                <c:ptCount val="1"/>
                <c:pt idx="0">
                  <c:v>BL048 Vanco M 6-8wo mouse 2 10^5.6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'feces pos ttmnt - PA 10^5.6'!$S$2:$S$11</c:f>
              <c:numCache>
                <c:formatCode>General</c:formatCode>
                <c:ptCount val="10"/>
                <c:pt idx="0">
                  <c:v>0.9</c:v>
                </c:pt>
                <c:pt idx="1">
                  <c:v>1.9000000000000001</c:v>
                </c:pt>
                <c:pt idx="2">
                  <c:v>2.9</c:v>
                </c:pt>
                <c:pt idx="3">
                  <c:v>3.9</c:v>
                </c:pt>
                <c:pt idx="4">
                  <c:v>4.8999999999999995</c:v>
                </c:pt>
                <c:pt idx="5">
                  <c:v>5.8999999999999995</c:v>
                </c:pt>
                <c:pt idx="6">
                  <c:v>6.8999999999999995</c:v>
                </c:pt>
                <c:pt idx="7">
                  <c:v>9.9</c:v>
                </c:pt>
                <c:pt idx="8">
                  <c:v>11.9</c:v>
                </c:pt>
                <c:pt idx="9">
                  <c:v>13.9</c:v>
                </c:pt>
              </c:numCache>
            </c:numRef>
          </c:xVal>
          <c:yVal>
            <c:numRef>
              <c:f>'feces pos ttmnt - PA 10^5.6'!$G$193:$G$202</c:f>
              <c:numCache>
                <c:formatCode>0.000</c:formatCode>
                <c:ptCount val="10"/>
                <c:pt idx="0">
                  <c:v>5.7407247524430183</c:v>
                </c:pt>
                <c:pt idx="1">
                  <c:v>6.319712208631735</c:v>
                </c:pt>
                <c:pt idx="2">
                  <c:v>5.9714287473074634</c:v>
                </c:pt>
                <c:pt idx="3">
                  <c:v>5.5204320093332502</c:v>
                </c:pt>
                <c:pt idx="4">
                  <c:v>7.1358280790384265</c:v>
                </c:pt>
                <c:pt idx="5">
                  <c:v>6.893760521218339</c:v>
                </c:pt>
                <c:pt idx="6">
                  <c:v>5.9740118180482931</c:v>
                </c:pt>
                <c:pt idx="7">
                  <c:v>5.1575420561519518</c:v>
                </c:pt>
                <c:pt idx="8">
                  <c:v>3.8951453541950993</c:v>
                </c:pt>
                <c:pt idx="9">
                  <c:v>3.5056714446405959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929-C845-A315-AB55EB65E31E}"/>
            </c:ext>
          </c:extLst>
        </c:ser>
        <c:ser>
          <c:idx val="3"/>
          <c:order val="8"/>
          <c:tx>
            <c:strRef>
              <c:f>'feces pos ttmnt - PA 10^5.6'!$A$203</c:f>
              <c:strCache>
                <c:ptCount val="1"/>
                <c:pt idx="0">
                  <c:v>BL048 Vanco M 6-8wo mouse 3 10^5.6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'feces pos ttmnt - PA 10^5.6'!$T$2:$T$11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4.9999999999999991</c:v>
                </c:pt>
                <c:pt idx="5">
                  <c:v>5.9999999999999991</c:v>
                </c:pt>
                <c:pt idx="6">
                  <c:v>6.9999999999999991</c:v>
                </c:pt>
                <c:pt idx="7">
                  <c:v>10</c:v>
                </c:pt>
                <c:pt idx="8">
                  <c:v>12</c:v>
                </c:pt>
                <c:pt idx="9">
                  <c:v>14</c:v>
                </c:pt>
              </c:numCache>
            </c:numRef>
          </c:xVal>
          <c:yVal>
            <c:numRef>
              <c:f>'feces pos ttmnt - PA 10^5.6'!$G$204:$G$213</c:f>
              <c:numCache>
                <c:formatCode>0.000</c:formatCode>
                <c:ptCount val="10"/>
                <c:pt idx="0">
                  <c:v>7.5879161801994908</c:v>
                </c:pt>
                <c:pt idx="1">
                  <c:v>8.1622011987272423</c:v>
                </c:pt>
                <c:pt idx="2">
                  <c:v>8.5528419686577806</c:v>
                </c:pt>
                <c:pt idx="3">
                  <c:v>7.9538190140553011</c:v>
                </c:pt>
                <c:pt idx="4">
                  <c:v>8.1674910872937634</c:v>
                </c:pt>
                <c:pt idx="5">
                  <c:v>8.0705810742857054</c:v>
                </c:pt>
                <c:pt idx="6">
                  <c:v>7.3459110086680282</c:v>
                </c:pt>
                <c:pt idx="7">
                  <c:v>5.6535121305391431</c:v>
                </c:pt>
                <c:pt idx="8">
                  <c:v>4.8312079796858178</c:v>
                </c:pt>
                <c:pt idx="9">
                  <c:v>4.224081631048648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929-C845-A315-AB55EB65E31E}"/>
            </c:ext>
          </c:extLst>
        </c:ser>
        <c:ser>
          <c:idx val="4"/>
          <c:order val="9"/>
          <c:tx>
            <c:strRef>
              <c:f>'feces pos ttmnt - PA 10^5.6'!$A$214</c:f>
              <c:strCache>
                <c:ptCount val="1"/>
                <c:pt idx="0">
                  <c:v>BL048 Vanco M 6-8wo mouse 4 10^5.6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'feces pos ttmnt - PA 10^5.6'!$U$2:$U$11</c:f>
              <c:numCache>
                <c:formatCode>General</c:formatCode>
                <c:ptCount val="10"/>
                <c:pt idx="0">
                  <c:v>1.1000000000000001</c:v>
                </c:pt>
                <c:pt idx="1">
                  <c:v>2.1</c:v>
                </c:pt>
                <c:pt idx="2">
                  <c:v>3.1</c:v>
                </c:pt>
                <c:pt idx="3">
                  <c:v>4.0999999999999996</c:v>
                </c:pt>
                <c:pt idx="4">
                  <c:v>5.0999999999999988</c:v>
                </c:pt>
                <c:pt idx="5">
                  <c:v>6.0999999999999988</c:v>
                </c:pt>
                <c:pt idx="6">
                  <c:v>7.0999999999999988</c:v>
                </c:pt>
                <c:pt idx="7">
                  <c:v>10.1</c:v>
                </c:pt>
                <c:pt idx="8">
                  <c:v>12.1</c:v>
                </c:pt>
                <c:pt idx="9">
                  <c:v>14.1</c:v>
                </c:pt>
              </c:numCache>
            </c:numRef>
          </c:xVal>
          <c:yVal>
            <c:numRef>
              <c:f>'feces pos ttmnt - PA 10^5.6'!$G$215:$G$224</c:f>
              <c:numCache>
                <c:formatCode>0.000</c:formatCode>
                <c:ptCount val="10"/>
                <c:pt idx="0">
                  <c:v>6.3033304636788161</c:v>
                </c:pt>
                <c:pt idx="1">
                  <c:v>7.6142562696884326</c:v>
                </c:pt>
                <c:pt idx="2">
                  <c:v>7.747913822336308</c:v>
                </c:pt>
                <c:pt idx="3">
                  <c:v>6.4943655882981268</c:v>
                </c:pt>
                <c:pt idx="4">
                  <c:v>6.906166466080581</c:v>
                </c:pt>
                <c:pt idx="5">
                  <c:v>7.0855032945166361</c:v>
                </c:pt>
                <c:pt idx="6">
                  <c:v>6.3910463007241374</c:v>
                </c:pt>
                <c:pt idx="7">
                  <c:v>5.6476953346562464</c:v>
                </c:pt>
                <c:pt idx="8">
                  <c:v>4.0029049906434064</c:v>
                </c:pt>
                <c:pt idx="9">
                  <c:v>4.1594842420468563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D929-C845-A315-AB55EB65E31E}"/>
            </c:ext>
          </c:extLst>
        </c:ser>
        <c:ser>
          <c:idx val="5"/>
          <c:order val="10"/>
          <c:tx>
            <c:strRef>
              <c:f>'feces pos ttmnt - PA 10^5.6'!$A$227</c:f>
              <c:strCache>
                <c:ptCount val="1"/>
                <c:pt idx="0">
                  <c:v>BL048 Vanco M 6-8wo mouse 5 10^5.6</c:v>
                </c:pt>
              </c:strCache>
            </c:strRef>
          </c:tx>
          <c:spPr>
            <a:ln w="19050">
              <a:noFill/>
            </a:ln>
          </c:spPr>
          <c:marker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'feces pos ttmnt - PA 10^5.6'!$V$2:$V$11</c:f>
              <c:numCache>
                <c:formatCode>General</c:formatCode>
                <c:ptCount val="10"/>
                <c:pt idx="0">
                  <c:v>1.2000000000000002</c:v>
                </c:pt>
                <c:pt idx="1">
                  <c:v>2.2000000000000002</c:v>
                </c:pt>
                <c:pt idx="2">
                  <c:v>3.2</c:v>
                </c:pt>
                <c:pt idx="3">
                  <c:v>4.1999999999999993</c:v>
                </c:pt>
                <c:pt idx="4">
                  <c:v>5.1999999999999984</c:v>
                </c:pt>
                <c:pt idx="5">
                  <c:v>6.1999999999999984</c:v>
                </c:pt>
                <c:pt idx="6">
                  <c:v>7.1999999999999984</c:v>
                </c:pt>
                <c:pt idx="7">
                  <c:v>10.199999999999999</c:v>
                </c:pt>
                <c:pt idx="8">
                  <c:v>12.2</c:v>
                </c:pt>
                <c:pt idx="9">
                  <c:v>14.2</c:v>
                </c:pt>
              </c:numCache>
            </c:numRef>
          </c:xVal>
          <c:yVal>
            <c:numRef>
              <c:f>'feces pos ttmnt - PA 10^5.6'!$G$228:$G$237</c:f>
              <c:numCache>
                <c:formatCode>0.000</c:formatCode>
                <c:ptCount val="10"/>
                <c:pt idx="0">
                  <c:v>2.882728704344236</c:v>
                </c:pt>
                <c:pt idx="1">
                  <c:v>4.4063112491473522</c:v>
                </c:pt>
                <c:pt idx="2">
                  <c:v>6.5207653859669392</c:v>
                </c:pt>
                <c:pt idx="3">
                  <c:v>7.5086383061657251</c:v>
                </c:pt>
                <c:pt idx="4">
                  <c:v>7.8041003475907651</c:v>
                </c:pt>
                <c:pt idx="5">
                  <c:v>7.4549404153059973</c:v>
                </c:pt>
                <c:pt idx="6">
                  <c:v>8.3589667976372262</c:v>
                </c:pt>
                <c:pt idx="7">
                  <c:v>7.2057443828255883</c:v>
                </c:pt>
                <c:pt idx="8">
                  <c:v>5.0122699104749033</c:v>
                </c:pt>
                <c:pt idx="9">
                  <c:v>3.4838320184633944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D929-C845-A315-AB55EB65E3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21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</c:plotArea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11586</xdr:colOff>
      <xdr:row>0</xdr:row>
      <xdr:rowOff>0</xdr:rowOff>
    </xdr:from>
    <xdr:to>
      <xdr:col>17</xdr:col>
      <xdr:colOff>91390</xdr:colOff>
      <xdr:row>15</xdr:row>
      <xdr:rowOff>323070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9B189BF-F27C-F64B-938B-3178A36E23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11140</xdr:colOff>
      <xdr:row>34</xdr:row>
      <xdr:rowOff>179239</xdr:rowOff>
    </xdr:from>
    <xdr:to>
      <xdr:col>17</xdr:col>
      <xdr:colOff>90944</xdr:colOff>
      <xdr:row>51</xdr:row>
      <xdr:rowOff>190946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C210D66-8C3E-364D-B5F8-2D4A382E15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44562</xdr:colOff>
      <xdr:row>15</xdr:row>
      <xdr:rowOff>44561</xdr:rowOff>
    </xdr:from>
    <xdr:to>
      <xdr:col>19</xdr:col>
      <xdr:colOff>254000</xdr:colOff>
      <xdr:row>34</xdr:row>
      <xdr:rowOff>115454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7F539F2-964B-4441-9AAC-F64E35EBA6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ne/Library/Mobile%20Documents/com~apple~CloudDocs/Documents/DGP/Hauser%20lab/Results/2019/8.8.19%20-%20colonization%20assay%20PAS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ces over a week"/>
      <sheetName val="Day 7 - all organs "/>
    </sheetNames>
    <sheetDataSet>
      <sheetData sheetId="0">
        <row r="1">
          <cell r="K1" t="str">
            <v>Detection limit</v>
          </cell>
        </row>
        <row r="2">
          <cell r="K2">
            <v>2.2300321986705574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N5"/>
  <sheetViews>
    <sheetView workbookViewId="0">
      <selection activeCell="K6" sqref="K6"/>
    </sheetView>
  </sheetViews>
  <sheetFormatPr baseColWidth="10" defaultRowHeight="16" x14ac:dyDescent="0.2"/>
  <cols>
    <col min="2" max="2" width="15.6640625" customWidth="1"/>
    <col min="3" max="3" width="17.33203125" customWidth="1"/>
    <col min="5" max="5" width="12.33203125" bestFit="1" customWidth="1"/>
  </cols>
  <sheetData>
    <row r="1" spans="1:14" ht="44" x14ac:dyDescent="0.2">
      <c r="A1" s="8" t="s">
        <v>5</v>
      </c>
      <c r="B1" s="8" t="s">
        <v>6</v>
      </c>
      <c r="C1" s="8" t="s">
        <v>7</v>
      </c>
      <c r="D1" s="8" t="s">
        <v>8</v>
      </c>
      <c r="E1" s="8" t="s">
        <v>9</v>
      </c>
      <c r="I1" s="1"/>
      <c r="J1" s="15" t="s">
        <v>11</v>
      </c>
      <c r="K1" s="15" t="s">
        <v>12</v>
      </c>
      <c r="L1" s="15" t="s">
        <v>17</v>
      </c>
      <c r="M1" s="15" t="s">
        <v>13</v>
      </c>
      <c r="N1" s="15" t="s">
        <v>14</v>
      </c>
    </row>
    <row r="2" spans="1:14" x14ac:dyDescent="0.2">
      <c r="A2" s="9" t="s">
        <v>10</v>
      </c>
      <c r="B2" s="10"/>
      <c r="C2" s="10"/>
      <c r="D2" s="11">
        <v>7</v>
      </c>
      <c r="E2" s="12"/>
      <c r="I2" s="44"/>
      <c r="J2" s="1"/>
      <c r="K2" s="3"/>
      <c r="L2" s="3"/>
      <c r="M2" s="45"/>
      <c r="N2" s="46"/>
    </row>
    <row r="3" spans="1:14" x14ac:dyDescent="0.2">
      <c r="A3" s="13"/>
      <c r="B3" s="10"/>
      <c r="C3" s="10"/>
      <c r="D3" s="14" t="e">
        <f>LOG(((E3*B3)+C3)*0.05)</f>
        <v>#NUM!</v>
      </c>
      <c r="E3" s="24">
        <v>0.23200000000000001</v>
      </c>
      <c r="I3" s="44"/>
      <c r="J3" s="1"/>
      <c r="K3" s="3"/>
      <c r="L3" s="3"/>
      <c r="M3" s="45"/>
      <c r="N3" s="46"/>
    </row>
    <row r="4" spans="1:14" x14ac:dyDescent="0.2">
      <c r="A4" s="9"/>
      <c r="B4" s="10"/>
      <c r="C4" s="10"/>
      <c r="D4" s="11"/>
      <c r="E4" s="12"/>
      <c r="I4" s="47" t="s">
        <v>16</v>
      </c>
      <c r="J4">
        <v>84</v>
      </c>
      <c r="K4" s="17">
        <v>1000</v>
      </c>
      <c r="L4" s="17">
        <f>J4*5*K4</f>
        <v>420000</v>
      </c>
      <c r="M4" s="45">
        <f>AVERAGE(L4:L5)</f>
        <v>422500</v>
      </c>
      <c r="N4" s="46">
        <f>LOG10(M4)</f>
        <v>5.6258267132857114</v>
      </c>
    </row>
    <row r="5" spans="1:14" x14ac:dyDescent="0.2">
      <c r="A5" s="13"/>
      <c r="B5" s="10"/>
      <c r="C5" s="10"/>
      <c r="D5" s="14"/>
      <c r="E5" s="24"/>
      <c r="I5" s="47"/>
      <c r="J5">
        <v>85</v>
      </c>
      <c r="K5" s="17">
        <v>1000</v>
      </c>
      <c r="L5" s="17">
        <f>J5*5*K5</f>
        <v>425000</v>
      </c>
      <c r="M5" s="45"/>
      <c r="N5" s="46"/>
    </row>
  </sheetData>
  <mergeCells count="6">
    <mergeCell ref="I2:I3"/>
    <mergeCell ref="M2:M3"/>
    <mergeCell ref="N2:N3"/>
    <mergeCell ref="I4:I5"/>
    <mergeCell ref="M4:M5"/>
    <mergeCell ref="N4:N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V354"/>
  <sheetViews>
    <sheetView tabSelected="1" topLeftCell="D10" zoomScale="125" zoomScaleNormal="100" workbookViewId="0">
      <selection activeCell="G228" sqref="G228:G237"/>
    </sheetView>
  </sheetViews>
  <sheetFormatPr baseColWidth="10" defaultRowHeight="16" x14ac:dyDescent="0.2"/>
  <cols>
    <col min="1" max="1" width="18.33203125" customWidth="1"/>
  </cols>
  <sheetData>
    <row r="1" spans="1:22" ht="51" x14ac:dyDescent="0.2">
      <c r="A1" s="2" t="s">
        <v>28</v>
      </c>
      <c r="B1" s="48" t="s">
        <v>0</v>
      </c>
      <c r="C1" s="48"/>
      <c r="D1" s="7" t="s">
        <v>1</v>
      </c>
      <c r="E1" s="25" t="s">
        <v>4</v>
      </c>
      <c r="F1" s="7" t="s">
        <v>2</v>
      </c>
      <c r="G1" s="29" t="s">
        <v>3</v>
      </c>
      <c r="H1" s="29"/>
    </row>
    <row r="2" spans="1:22" x14ac:dyDescent="0.2">
      <c r="A2" s="19" t="s">
        <v>19</v>
      </c>
      <c r="B2">
        <v>0</v>
      </c>
      <c r="C2">
        <v>0</v>
      </c>
      <c r="D2">
        <f>AVERAGE(B2:C2)</f>
        <v>0</v>
      </c>
      <c r="E2" s="5">
        <v>1</v>
      </c>
      <c r="F2" s="5">
        <f>1680.6-1669.1</f>
        <v>11.5</v>
      </c>
      <c r="G2" s="30" t="e">
        <f>LOG10(D2*100*E2/F57*1000)</f>
        <v>#NUM!</v>
      </c>
      <c r="H2" s="31"/>
      <c r="R2">
        <v>0.8</v>
      </c>
      <c r="S2">
        <f>R2+0.1</f>
        <v>0.9</v>
      </c>
      <c r="T2">
        <f t="shared" ref="T2:V2" si="0">S2+0.1</f>
        <v>1</v>
      </c>
      <c r="U2">
        <f t="shared" si="0"/>
        <v>1.1000000000000001</v>
      </c>
      <c r="V2">
        <f t="shared" si="0"/>
        <v>1.2000000000000002</v>
      </c>
    </row>
    <row r="3" spans="1:22" x14ac:dyDescent="0.2">
      <c r="A3" s="19" t="s">
        <v>20</v>
      </c>
      <c r="B3" s="20">
        <v>0</v>
      </c>
      <c r="C3" s="20">
        <v>0</v>
      </c>
      <c r="D3" s="20">
        <f>AVERAGE(B3:C3)</f>
        <v>0</v>
      </c>
      <c r="E3" s="19">
        <v>1</v>
      </c>
      <c r="F3" s="5">
        <f>1670.2-1651.1</f>
        <v>19.100000000000136</v>
      </c>
      <c r="G3" s="30" t="e">
        <f>LOG10(D3*100*E3/F58*1000)</f>
        <v>#NUM!</v>
      </c>
      <c r="H3" s="31"/>
      <c r="R3">
        <f>R2+1</f>
        <v>1.8</v>
      </c>
      <c r="S3">
        <f t="shared" ref="S3:V11" si="1">R3+0.1</f>
        <v>1.9000000000000001</v>
      </c>
      <c r="T3">
        <f t="shared" si="1"/>
        <v>2</v>
      </c>
      <c r="U3">
        <f t="shared" si="1"/>
        <v>2.1</v>
      </c>
      <c r="V3">
        <f t="shared" si="1"/>
        <v>2.2000000000000002</v>
      </c>
    </row>
    <row r="4" spans="1:22" x14ac:dyDescent="0.2">
      <c r="A4" s="19" t="s">
        <v>21</v>
      </c>
      <c r="B4" s="20">
        <v>0</v>
      </c>
      <c r="C4" s="20">
        <v>0</v>
      </c>
      <c r="D4" s="20">
        <f t="shared" ref="D4:D11" si="2">AVERAGE(B4:C4)</f>
        <v>0</v>
      </c>
      <c r="E4" s="19">
        <v>1</v>
      </c>
      <c r="F4" s="5">
        <f>1741.1-1704.7</f>
        <v>36.399999999999864</v>
      </c>
      <c r="G4" s="30" t="e">
        <f>LOG10(D4*100*E4/F59*1000)</f>
        <v>#NUM!</v>
      </c>
      <c r="H4" s="31"/>
      <c r="R4">
        <f t="shared" ref="R4:R8" si="3">R3+1</f>
        <v>2.8</v>
      </c>
      <c r="S4">
        <f t="shared" si="1"/>
        <v>2.9</v>
      </c>
      <c r="T4">
        <f t="shared" ref="T4:T11" si="4">S4+0.1</f>
        <v>3</v>
      </c>
      <c r="U4">
        <f t="shared" ref="U4:U11" si="5">T4+0.1</f>
        <v>3.1</v>
      </c>
      <c r="V4">
        <f t="shared" ref="V4:V11" si="6">U4+0.1</f>
        <v>3.2</v>
      </c>
    </row>
    <row r="5" spans="1:22" x14ac:dyDescent="0.2">
      <c r="A5" s="19" t="s">
        <v>22</v>
      </c>
      <c r="B5" s="20">
        <v>0</v>
      </c>
      <c r="C5" s="20">
        <v>0</v>
      </c>
      <c r="D5" s="20">
        <f t="shared" si="2"/>
        <v>0</v>
      </c>
      <c r="E5" s="19">
        <v>1</v>
      </c>
      <c r="F5" s="5">
        <f>1728-1662.5</f>
        <v>65.5</v>
      </c>
      <c r="G5" s="30" t="e">
        <f>LOG10(D5*100*E5/F60*1000)</f>
        <v>#NUM!</v>
      </c>
      <c r="H5" s="31"/>
      <c r="R5">
        <f t="shared" si="3"/>
        <v>3.8</v>
      </c>
      <c r="S5">
        <f t="shared" si="1"/>
        <v>3.9</v>
      </c>
      <c r="T5">
        <f t="shared" si="4"/>
        <v>4</v>
      </c>
      <c r="U5">
        <f t="shared" si="5"/>
        <v>4.0999999999999996</v>
      </c>
      <c r="V5">
        <f t="shared" si="6"/>
        <v>4.1999999999999993</v>
      </c>
    </row>
    <row r="6" spans="1:22" ht="15" customHeight="1" x14ac:dyDescent="0.2">
      <c r="A6" s="26" t="s">
        <v>23</v>
      </c>
      <c r="B6" s="22">
        <v>0</v>
      </c>
      <c r="C6" s="22">
        <v>0</v>
      </c>
      <c r="D6" s="20">
        <f t="shared" si="2"/>
        <v>0</v>
      </c>
      <c r="E6" s="26">
        <v>1</v>
      </c>
      <c r="F6" s="5">
        <f>1880.3-1748.8</f>
        <v>131.5</v>
      </c>
      <c r="G6" s="30" t="e">
        <f>LOG10(D6*100*E6/F61*1000)</f>
        <v>#NUM!</v>
      </c>
      <c r="H6" s="31"/>
      <c r="R6">
        <f t="shared" si="3"/>
        <v>4.8</v>
      </c>
      <c r="S6">
        <f t="shared" si="1"/>
        <v>4.8999999999999995</v>
      </c>
      <c r="T6">
        <f t="shared" si="4"/>
        <v>4.9999999999999991</v>
      </c>
      <c r="U6">
        <f t="shared" si="5"/>
        <v>5.0999999999999988</v>
      </c>
      <c r="V6">
        <f t="shared" si="6"/>
        <v>5.1999999999999984</v>
      </c>
    </row>
    <row r="7" spans="1:22" x14ac:dyDescent="0.2">
      <c r="A7" s="19" t="s">
        <v>24</v>
      </c>
      <c r="B7" s="20">
        <v>0</v>
      </c>
      <c r="C7" s="20"/>
      <c r="D7" s="20">
        <f t="shared" si="2"/>
        <v>0</v>
      </c>
      <c r="E7" s="19">
        <v>1</v>
      </c>
      <c r="F7" s="19">
        <f>1738.6-1682.4</f>
        <v>56.199999999999818</v>
      </c>
      <c r="G7" s="30" t="e">
        <f t="shared" ref="G7:G11" si="7">LOG10(D7*100*E7/F7*1000)</f>
        <v>#NUM!</v>
      </c>
      <c r="H7" s="31"/>
      <c r="R7">
        <f t="shared" si="3"/>
        <v>5.8</v>
      </c>
      <c r="S7">
        <f t="shared" si="1"/>
        <v>5.8999999999999995</v>
      </c>
      <c r="T7">
        <f t="shared" si="4"/>
        <v>5.9999999999999991</v>
      </c>
      <c r="U7">
        <f t="shared" si="5"/>
        <v>6.0999999999999988</v>
      </c>
      <c r="V7">
        <f t="shared" si="6"/>
        <v>6.1999999999999984</v>
      </c>
    </row>
    <row r="8" spans="1:22" x14ac:dyDescent="0.2">
      <c r="A8" s="19" t="s">
        <v>15</v>
      </c>
      <c r="B8" s="20">
        <v>0</v>
      </c>
      <c r="C8" s="20"/>
      <c r="D8" s="20">
        <f t="shared" si="2"/>
        <v>0</v>
      </c>
      <c r="E8" s="19">
        <v>1</v>
      </c>
      <c r="F8" s="19">
        <f>1780.5-1686.1</f>
        <v>94.400000000000091</v>
      </c>
      <c r="G8" s="30" t="e">
        <f t="shared" si="7"/>
        <v>#NUM!</v>
      </c>
      <c r="H8" s="31"/>
      <c r="R8">
        <f t="shared" si="3"/>
        <v>6.8</v>
      </c>
      <c r="S8">
        <f t="shared" si="1"/>
        <v>6.8999999999999995</v>
      </c>
      <c r="T8">
        <f t="shared" si="4"/>
        <v>6.9999999999999991</v>
      </c>
      <c r="U8">
        <f t="shared" si="5"/>
        <v>7.0999999999999988</v>
      </c>
      <c r="V8">
        <f t="shared" si="6"/>
        <v>7.1999999999999984</v>
      </c>
    </row>
    <row r="9" spans="1:22" x14ac:dyDescent="0.2">
      <c r="A9" s="19" t="s">
        <v>26</v>
      </c>
      <c r="B9" s="20">
        <v>0</v>
      </c>
      <c r="C9" s="20"/>
      <c r="D9" s="20">
        <f t="shared" si="2"/>
        <v>0</v>
      </c>
      <c r="E9" s="19">
        <v>1</v>
      </c>
      <c r="F9" s="19">
        <f>1714.6-1665</f>
        <v>49.599999999999909</v>
      </c>
      <c r="G9" s="30" t="e">
        <f t="shared" si="7"/>
        <v>#NUM!</v>
      </c>
      <c r="H9" s="31"/>
      <c r="R9">
        <v>9.8000000000000007</v>
      </c>
      <c r="S9">
        <f t="shared" si="1"/>
        <v>9.9</v>
      </c>
      <c r="T9">
        <f t="shared" si="4"/>
        <v>10</v>
      </c>
      <c r="U9">
        <f t="shared" si="5"/>
        <v>10.1</v>
      </c>
      <c r="V9">
        <f t="shared" si="6"/>
        <v>10.199999999999999</v>
      </c>
    </row>
    <row r="10" spans="1:22" x14ac:dyDescent="0.2">
      <c r="A10" s="19" t="s">
        <v>27</v>
      </c>
      <c r="B10" s="20">
        <v>0</v>
      </c>
      <c r="C10" s="20"/>
      <c r="D10" s="20">
        <f t="shared" si="2"/>
        <v>0</v>
      </c>
      <c r="E10" s="19">
        <v>1</v>
      </c>
      <c r="F10" s="19">
        <f>1786.1-1675.5</f>
        <v>110.59999999999991</v>
      </c>
      <c r="G10" s="30" t="e">
        <f t="shared" si="7"/>
        <v>#NUM!</v>
      </c>
      <c r="H10" s="31"/>
      <c r="R10">
        <v>11.8</v>
      </c>
      <c r="S10">
        <f t="shared" si="1"/>
        <v>11.9</v>
      </c>
      <c r="T10">
        <f t="shared" si="4"/>
        <v>12</v>
      </c>
      <c r="U10">
        <f t="shared" si="5"/>
        <v>12.1</v>
      </c>
      <c r="V10">
        <f t="shared" si="6"/>
        <v>12.2</v>
      </c>
    </row>
    <row r="11" spans="1:22" ht="17" x14ac:dyDescent="0.2">
      <c r="A11" s="26" t="s">
        <v>48</v>
      </c>
      <c r="B11" s="22">
        <v>0</v>
      </c>
      <c r="C11" s="22"/>
      <c r="D11" s="20">
        <f t="shared" si="2"/>
        <v>0</v>
      </c>
      <c r="E11" s="26">
        <v>1</v>
      </c>
      <c r="F11" s="43">
        <f>1851-1750.7</f>
        <v>100.29999999999995</v>
      </c>
      <c r="G11" s="30" t="e">
        <f t="shared" si="7"/>
        <v>#NUM!</v>
      </c>
      <c r="H11" s="31"/>
      <c r="R11">
        <v>13.8</v>
      </c>
      <c r="S11">
        <f t="shared" si="1"/>
        <v>13.9</v>
      </c>
      <c r="T11">
        <f t="shared" si="4"/>
        <v>14</v>
      </c>
      <c r="U11">
        <f t="shared" si="5"/>
        <v>14.1</v>
      </c>
      <c r="V11">
        <f t="shared" si="6"/>
        <v>14.2</v>
      </c>
    </row>
    <row r="12" spans="1:22" ht="51" x14ac:dyDescent="0.2">
      <c r="A12" s="2" t="s">
        <v>29</v>
      </c>
      <c r="B12" s="48" t="s">
        <v>0</v>
      </c>
      <c r="C12" s="48"/>
      <c r="D12" s="18" t="s">
        <v>1</v>
      </c>
      <c r="E12" s="25" t="s">
        <v>4</v>
      </c>
      <c r="F12" s="18" t="s">
        <v>2</v>
      </c>
      <c r="G12" s="29" t="s">
        <v>3</v>
      </c>
      <c r="H12" s="31"/>
    </row>
    <row r="13" spans="1:22" x14ac:dyDescent="0.2">
      <c r="A13" s="19" t="s">
        <v>19</v>
      </c>
      <c r="B13" s="42">
        <v>0</v>
      </c>
      <c r="C13" s="42">
        <v>0</v>
      </c>
      <c r="D13">
        <f>AVERAGE(B13:C13)</f>
        <v>0</v>
      </c>
      <c r="E13" s="5">
        <v>1</v>
      </c>
      <c r="F13" s="5">
        <f>1712.7-1697.1</f>
        <v>15.600000000000136</v>
      </c>
      <c r="G13" s="31" t="e">
        <f>LOG10(D13*100*E13/F13*1000)</f>
        <v>#NUM!</v>
      </c>
      <c r="H13" s="31"/>
    </row>
    <row r="14" spans="1:22" x14ac:dyDescent="0.2">
      <c r="A14" s="19" t="s">
        <v>20</v>
      </c>
      <c r="B14" s="42">
        <v>0</v>
      </c>
      <c r="C14" s="42">
        <v>0</v>
      </c>
      <c r="D14" s="20">
        <f t="shared" ref="D14:D22" si="8">AVERAGE(B14:C14)</f>
        <v>0</v>
      </c>
      <c r="E14" s="19">
        <v>1</v>
      </c>
      <c r="F14" s="19">
        <f>1728-1693.8</f>
        <v>34.200000000000045</v>
      </c>
      <c r="G14" s="30" t="e">
        <f>LOG10(D14*100*E14/F14*1000)</f>
        <v>#NUM!</v>
      </c>
      <c r="H14" s="31"/>
    </row>
    <row r="15" spans="1:22" x14ac:dyDescent="0.2">
      <c r="A15" s="19" t="s">
        <v>21</v>
      </c>
      <c r="B15" s="42">
        <v>0</v>
      </c>
      <c r="C15" s="42">
        <v>0</v>
      </c>
      <c r="D15" s="20">
        <f t="shared" si="8"/>
        <v>0</v>
      </c>
      <c r="E15" s="19">
        <v>1</v>
      </c>
      <c r="F15" s="19">
        <f>1752.7-1671.3</f>
        <v>81.400000000000091</v>
      </c>
      <c r="G15" s="30" t="e">
        <f t="shared" ref="G15:G22" si="9">LOG10(D15*100*E15/F15*1000)</f>
        <v>#NUM!</v>
      </c>
      <c r="H15" s="31"/>
    </row>
    <row r="16" spans="1:22" x14ac:dyDescent="0.2">
      <c r="A16" s="19" t="s">
        <v>22</v>
      </c>
      <c r="B16" s="42">
        <v>0</v>
      </c>
      <c r="C16" s="42">
        <v>0</v>
      </c>
      <c r="D16" s="20">
        <f t="shared" si="8"/>
        <v>0</v>
      </c>
      <c r="E16" s="19">
        <v>1</v>
      </c>
      <c r="F16" s="19">
        <f>1765.9-1697.4</f>
        <v>68.5</v>
      </c>
      <c r="G16" s="30" t="e">
        <f t="shared" si="9"/>
        <v>#NUM!</v>
      </c>
      <c r="H16" s="31"/>
    </row>
    <row r="17" spans="1:8" ht="17" x14ac:dyDescent="0.2">
      <c r="A17" s="41" t="s">
        <v>23</v>
      </c>
      <c r="B17" s="22">
        <v>0</v>
      </c>
      <c r="C17" s="22"/>
      <c r="D17" s="20">
        <f t="shared" si="8"/>
        <v>0</v>
      </c>
      <c r="E17" s="26">
        <v>1</v>
      </c>
      <c r="F17" s="21">
        <f>1809.7-1712</f>
        <v>97.700000000000045</v>
      </c>
      <c r="G17" s="30" t="e">
        <f t="shared" si="9"/>
        <v>#NUM!</v>
      </c>
      <c r="H17" s="31"/>
    </row>
    <row r="18" spans="1:8" x14ac:dyDescent="0.2">
      <c r="A18" s="19" t="s">
        <v>24</v>
      </c>
      <c r="B18" s="42">
        <v>0</v>
      </c>
      <c r="C18" s="20"/>
      <c r="D18" s="20">
        <f t="shared" si="8"/>
        <v>0</v>
      </c>
      <c r="E18" s="19">
        <v>1</v>
      </c>
      <c r="F18" s="19">
        <f>1689.3-1614.8</f>
        <v>74.5</v>
      </c>
      <c r="G18" s="30" t="e">
        <f t="shared" si="9"/>
        <v>#NUM!</v>
      </c>
      <c r="H18" s="31"/>
    </row>
    <row r="19" spans="1:8" x14ac:dyDescent="0.2">
      <c r="A19" s="19" t="s">
        <v>15</v>
      </c>
      <c r="B19" s="42">
        <v>0</v>
      </c>
      <c r="C19" s="20"/>
      <c r="D19" s="20">
        <f t="shared" si="8"/>
        <v>0</v>
      </c>
      <c r="E19" s="19">
        <v>1</v>
      </c>
      <c r="F19" s="19">
        <f>1929.1-1778.7</f>
        <v>150.39999999999986</v>
      </c>
      <c r="G19" s="30" t="e">
        <f t="shared" si="9"/>
        <v>#NUM!</v>
      </c>
      <c r="H19" s="31"/>
    </row>
    <row r="20" spans="1:8" x14ac:dyDescent="0.2">
      <c r="A20" s="19" t="s">
        <v>26</v>
      </c>
      <c r="B20" s="42">
        <v>0</v>
      </c>
      <c r="C20" s="20"/>
      <c r="D20" s="20">
        <f t="shared" si="8"/>
        <v>0</v>
      </c>
      <c r="E20" s="19">
        <v>1</v>
      </c>
      <c r="F20">
        <f>1932.2-1859</f>
        <v>73.200000000000045</v>
      </c>
      <c r="G20" s="30" t="e">
        <f t="shared" si="9"/>
        <v>#NUM!</v>
      </c>
      <c r="H20" s="31"/>
    </row>
    <row r="21" spans="1:8" ht="16" customHeight="1" x14ac:dyDescent="0.2">
      <c r="A21" s="19" t="s">
        <v>27</v>
      </c>
      <c r="B21" s="23">
        <v>0</v>
      </c>
      <c r="C21" s="23"/>
      <c r="D21" s="20">
        <f t="shared" si="8"/>
        <v>0</v>
      </c>
      <c r="E21" s="19">
        <v>1</v>
      </c>
      <c r="F21" s="19">
        <f>1651.4-1613.5</f>
        <v>37.900000000000091</v>
      </c>
      <c r="G21" s="30" t="e">
        <f t="shared" si="9"/>
        <v>#NUM!</v>
      </c>
      <c r="H21" s="31"/>
    </row>
    <row r="22" spans="1:8" ht="16" customHeight="1" x14ac:dyDescent="0.2">
      <c r="A22" s="19" t="s">
        <v>48</v>
      </c>
      <c r="B22" s="42">
        <v>0</v>
      </c>
      <c r="D22" s="20">
        <f t="shared" si="8"/>
        <v>0</v>
      </c>
      <c r="E22" s="5">
        <v>1</v>
      </c>
      <c r="F22" s="5">
        <f>1749.5-1743.2</f>
        <v>6.2999999999999545</v>
      </c>
      <c r="G22" s="30" t="e">
        <f t="shared" si="9"/>
        <v>#NUM!</v>
      </c>
      <c r="H22" s="31"/>
    </row>
    <row r="23" spans="1:8" ht="51" x14ac:dyDescent="0.2">
      <c r="A23" s="2" t="s">
        <v>30</v>
      </c>
      <c r="B23" s="48" t="s">
        <v>0</v>
      </c>
      <c r="C23" s="48"/>
      <c r="D23" s="18" t="s">
        <v>1</v>
      </c>
      <c r="E23" s="25" t="s">
        <v>4</v>
      </c>
      <c r="F23" s="18" t="s">
        <v>2</v>
      </c>
      <c r="G23" s="29" t="s">
        <v>3</v>
      </c>
      <c r="H23" s="31"/>
    </row>
    <row r="24" spans="1:8" x14ac:dyDescent="0.2">
      <c r="A24" s="19" t="s">
        <v>19</v>
      </c>
      <c r="B24" s="42">
        <v>0</v>
      </c>
      <c r="C24" s="42">
        <v>0</v>
      </c>
      <c r="D24">
        <f>AVERAGE(B24:C24)</f>
        <v>0</v>
      </c>
      <c r="E24" s="5">
        <v>1</v>
      </c>
      <c r="F24" s="5">
        <f>1731-1705.5</f>
        <v>25.5</v>
      </c>
      <c r="G24" s="31" t="e">
        <f>LOG10(D24*100*E24/F24*1000)</f>
        <v>#NUM!</v>
      </c>
      <c r="H24" s="31"/>
    </row>
    <row r="25" spans="1:8" x14ac:dyDescent="0.2">
      <c r="A25" s="19" t="s">
        <v>20</v>
      </c>
      <c r="B25" s="42">
        <v>0</v>
      </c>
      <c r="C25" s="42">
        <v>0</v>
      </c>
      <c r="D25" s="20">
        <f t="shared" ref="D25:D33" si="10">AVERAGE(B25:C25)</f>
        <v>0</v>
      </c>
      <c r="E25" s="19">
        <v>1</v>
      </c>
      <c r="F25" s="19">
        <f>1674.5-1634.6</f>
        <v>39.900000000000091</v>
      </c>
      <c r="G25" s="30" t="e">
        <f>LOG10(D25*100*E25/F25*1000)</f>
        <v>#NUM!</v>
      </c>
      <c r="H25" s="29"/>
    </row>
    <row r="26" spans="1:8" x14ac:dyDescent="0.2">
      <c r="A26" s="19" t="s">
        <v>21</v>
      </c>
      <c r="B26" s="42">
        <v>0</v>
      </c>
      <c r="C26" s="42">
        <v>0</v>
      </c>
      <c r="D26" s="20">
        <f t="shared" si="10"/>
        <v>0</v>
      </c>
      <c r="E26" s="19">
        <v>1</v>
      </c>
      <c r="F26" s="19">
        <f>1757.2-1701.6</f>
        <v>55.600000000000136</v>
      </c>
      <c r="G26" s="30" t="e">
        <f t="shared" ref="G26:G33" si="11">LOG10(D26*100*E26/F26*1000)</f>
        <v>#NUM!</v>
      </c>
      <c r="H26" s="31"/>
    </row>
    <row r="27" spans="1:8" x14ac:dyDescent="0.2">
      <c r="A27" s="19" t="s">
        <v>22</v>
      </c>
      <c r="B27" s="42">
        <v>0</v>
      </c>
      <c r="C27" s="42">
        <v>0</v>
      </c>
      <c r="D27" s="20">
        <f t="shared" si="10"/>
        <v>0</v>
      </c>
      <c r="E27" s="19">
        <v>1</v>
      </c>
      <c r="F27" s="19">
        <f>1771.2-1717.6</f>
        <v>53.600000000000136</v>
      </c>
      <c r="G27" s="30" t="e">
        <f t="shared" si="11"/>
        <v>#NUM!</v>
      </c>
      <c r="H27" s="31"/>
    </row>
    <row r="28" spans="1:8" ht="17" x14ac:dyDescent="0.2">
      <c r="A28" s="34" t="s">
        <v>23</v>
      </c>
      <c r="B28" s="22">
        <v>0</v>
      </c>
      <c r="C28" s="22"/>
      <c r="D28" s="20">
        <f t="shared" si="10"/>
        <v>0</v>
      </c>
      <c r="E28" s="43">
        <v>1</v>
      </c>
      <c r="F28" s="21">
        <f>1872.4-1808.4</f>
        <v>64</v>
      </c>
      <c r="G28" s="30" t="e">
        <f t="shared" si="11"/>
        <v>#NUM!</v>
      </c>
      <c r="H28" s="31"/>
    </row>
    <row r="29" spans="1:8" x14ac:dyDescent="0.2">
      <c r="A29" s="19" t="s">
        <v>18</v>
      </c>
      <c r="B29" s="42">
        <v>0</v>
      </c>
      <c r="C29" s="20"/>
      <c r="D29" s="20">
        <f t="shared" si="10"/>
        <v>0</v>
      </c>
      <c r="E29" s="19">
        <v>1</v>
      </c>
      <c r="F29" s="19" t="s">
        <v>49</v>
      </c>
      <c r="G29" s="30" t="e">
        <f t="shared" si="11"/>
        <v>#VALUE!</v>
      </c>
      <c r="H29" s="31"/>
    </row>
    <row r="30" spans="1:8" x14ac:dyDescent="0.2">
      <c r="A30" s="19" t="s">
        <v>15</v>
      </c>
      <c r="B30" s="42">
        <v>0</v>
      </c>
      <c r="C30" s="20"/>
      <c r="D30" s="20">
        <f t="shared" si="10"/>
        <v>0</v>
      </c>
      <c r="E30" s="19">
        <v>1</v>
      </c>
      <c r="F30" s="19">
        <f>1814.2-1727.6</f>
        <v>86.600000000000136</v>
      </c>
      <c r="G30" s="30" t="e">
        <f t="shared" si="11"/>
        <v>#NUM!</v>
      </c>
      <c r="H30" s="31"/>
    </row>
    <row r="31" spans="1:8" x14ac:dyDescent="0.2">
      <c r="A31" s="19" t="s">
        <v>26</v>
      </c>
      <c r="B31" s="42">
        <v>0</v>
      </c>
      <c r="C31" s="20"/>
      <c r="D31" s="20">
        <f t="shared" si="10"/>
        <v>0</v>
      </c>
      <c r="E31" s="19">
        <v>1</v>
      </c>
      <c r="F31" s="19">
        <f>1750-1675.2</f>
        <v>74.799999999999955</v>
      </c>
      <c r="G31" s="30" t="e">
        <f t="shared" si="11"/>
        <v>#NUM!</v>
      </c>
      <c r="H31" s="31"/>
    </row>
    <row r="32" spans="1:8" x14ac:dyDescent="0.2">
      <c r="A32" s="19" t="s">
        <v>27</v>
      </c>
      <c r="B32" s="23">
        <v>0</v>
      </c>
      <c r="C32" s="23"/>
      <c r="D32" s="20">
        <f t="shared" si="10"/>
        <v>0</v>
      </c>
      <c r="E32" s="19">
        <v>1</v>
      </c>
      <c r="F32" s="5">
        <f>1714.4-1680.3</f>
        <v>34.100000000000136</v>
      </c>
      <c r="G32" s="30" t="e">
        <f t="shared" si="11"/>
        <v>#NUM!</v>
      </c>
      <c r="H32" s="31"/>
    </row>
    <row r="33" spans="1:8" x14ac:dyDescent="0.2">
      <c r="A33" s="19" t="s">
        <v>48</v>
      </c>
      <c r="B33" s="42">
        <v>0</v>
      </c>
      <c r="D33" s="20">
        <f t="shared" si="10"/>
        <v>0</v>
      </c>
      <c r="E33" s="5">
        <v>1</v>
      </c>
      <c r="F33" s="5">
        <f>1685.3-1642.6</f>
        <v>42.700000000000045</v>
      </c>
      <c r="G33" s="30" t="e">
        <f t="shared" si="11"/>
        <v>#NUM!</v>
      </c>
      <c r="H33" s="31"/>
    </row>
    <row r="34" spans="1:8" ht="51" x14ac:dyDescent="0.2">
      <c r="A34" s="2" t="s">
        <v>31</v>
      </c>
      <c r="B34" s="48" t="s">
        <v>0</v>
      </c>
      <c r="C34" s="48"/>
      <c r="D34" s="18" t="s">
        <v>1</v>
      </c>
      <c r="E34" s="25" t="s">
        <v>4</v>
      </c>
      <c r="F34" s="18" t="s">
        <v>2</v>
      </c>
      <c r="G34" s="29" t="s">
        <v>3</v>
      </c>
      <c r="H34" s="31"/>
    </row>
    <row r="35" spans="1:8" x14ac:dyDescent="0.2">
      <c r="A35" s="19" t="s">
        <v>19</v>
      </c>
      <c r="B35" s="42">
        <v>0</v>
      </c>
      <c r="C35" s="42">
        <v>0</v>
      </c>
      <c r="D35">
        <f>AVERAGE(B35:C35)</f>
        <v>0</v>
      </c>
      <c r="E35" s="5">
        <v>1</v>
      </c>
      <c r="F35" s="5">
        <f>1765.4-1736</f>
        <v>29.400000000000091</v>
      </c>
      <c r="G35" s="30" t="e">
        <f>LOG10(D35*100*E35/F35*1000)</f>
        <v>#NUM!</v>
      </c>
      <c r="H35" s="31"/>
    </row>
    <row r="36" spans="1:8" x14ac:dyDescent="0.2">
      <c r="A36" s="19" t="s">
        <v>20</v>
      </c>
      <c r="B36" s="42">
        <v>0</v>
      </c>
      <c r="C36" s="42">
        <v>0</v>
      </c>
      <c r="D36" s="20">
        <f t="shared" ref="D36:D44" si="12">AVERAGE(B36:C36)</f>
        <v>0</v>
      </c>
      <c r="E36" s="19">
        <v>1</v>
      </c>
      <c r="F36" s="19">
        <f>1869.7-1808.3</f>
        <v>61.400000000000091</v>
      </c>
      <c r="G36" s="30" t="e">
        <f>LOG10(D36*100*E36/F36*1000)</f>
        <v>#NUM!</v>
      </c>
      <c r="H36" s="31"/>
    </row>
    <row r="37" spans="1:8" x14ac:dyDescent="0.2">
      <c r="A37" s="19" t="s">
        <v>21</v>
      </c>
      <c r="B37" s="42">
        <v>0</v>
      </c>
      <c r="C37" s="42">
        <v>0</v>
      </c>
      <c r="D37" s="20">
        <f t="shared" si="12"/>
        <v>0</v>
      </c>
      <c r="E37" s="19">
        <v>1</v>
      </c>
      <c r="F37" s="19">
        <f>1899.9-1813.9</f>
        <v>86</v>
      </c>
      <c r="G37" s="30" t="e">
        <f t="shared" ref="G37:G44" si="13">LOG10(D37*100*E37/F37*1000)</f>
        <v>#NUM!</v>
      </c>
      <c r="H37" s="31"/>
    </row>
    <row r="38" spans="1:8" x14ac:dyDescent="0.2">
      <c r="A38" s="19" t="s">
        <v>22</v>
      </c>
      <c r="B38" s="42">
        <v>0</v>
      </c>
      <c r="C38" s="42">
        <v>0</v>
      </c>
      <c r="D38" s="20">
        <f t="shared" si="12"/>
        <v>0</v>
      </c>
      <c r="E38" s="19">
        <v>1</v>
      </c>
      <c r="F38" s="19">
        <f>1774.2-1669.9</f>
        <v>104.29999999999995</v>
      </c>
      <c r="G38" s="30" t="e">
        <f t="shared" si="13"/>
        <v>#NUM!</v>
      </c>
      <c r="H38" s="31"/>
    </row>
    <row r="39" spans="1:8" ht="17" x14ac:dyDescent="0.2">
      <c r="A39" s="41" t="s">
        <v>23</v>
      </c>
      <c r="B39" s="22">
        <v>0</v>
      </c>
      <c r="C39" s="22"/>
      <c r="D39" s="20">
        <f t="shared" si="12"/>
        <v>0</v>
      </c>
      <c r="E39" s="43">
        <v>1</v>
      </c>
      <c r="F39" s="21">
        <f>1849.4-1700.4</f>
        <v>149</v>
      </c>
      <c r="G39" s="30" t="e">
        <f t="shared" si="13"/>
        <v>#NUM!</v>
      </c>
      <c r="H39" s="31"/>
    </row>
    <row r="40" spans="1:8" x14ac:dyDescent="0.2">
      <c r="A40" s="19" t="s">
        <v>24</v>
      </c>
      <c r="B40" s="42">
        <v>0</v>
      </c>
      <c r="C40" s="20"/>
      <c r="D40" s="20">
        <f t="shared" si="12"/>
        <v>0</v>
      </c>
      <c r="E40" s="19">
        <v>1</v>
      </c>
      <c r="F40" s="19">
        <f>1737.7-1653.3</f>
        <v>84.400000000000091</v>
      </c>
      <c r="G40" s="30" t="e">
        <f t="shared" si="13"/>
        <v>#NUM!</v>
      </c>
      <c r="H40" s="31"/>
    </row>
    <row r="41" spans="1:8" x14ac:dyDescent="0.2">
      <c r="A41" s="19" t="s">
        <v>15</v>
      </c>
      <c r="B41" s="42">
        <v>0</v>
      </c>
      <c r="C41" s="20"/>
      <c r="D41" s="20">
        <f t="shared" si="12"/>
        <v>0</v>
      </c>
      <c r="E41" s="19">
        <v>1</v>
      </c>
      <c r="F41" s="19">
        <f>1780.6-1639.4</f>
        <v>141.19999999999982</v>
      </c>
      <c r="G41" s="30" t="e">
        <f t="shared" si="13"/>
        <v>#NUM!</v>
      </c>
      <c r="H41" s="31"/>
    </row>
    <row r="42" spans="1:8" x14ac:dyDescent="0.2">
      <c r="A42" s="19" t="s">
        <v>26</v>
      </c>
      <c r="B42" s="42">
        <v>0</v>
      </c>
      <c r="C42" s="20"/>
      <c r="D42" s="20">
        <f t="shared" si="12"/>
        <v>0</v>
      </c>
      <c r="E42" s="19">
        <v>1</v>
      </c>
      <c r="F42" s="19">
        <f>1688.3-1668.7</f>
        <v>19.599999999999909</v>
      </c>
      <c r="G42" s="30" t="e">
        <f t="shared" si="13"/>
        <v>#NUM!</v>
      </c>
      <c r="H42" s="31"/>
    </row>
    <row r="43" spans="1:8" x14ac:dyDescent="0.2">
      <c r="A43" s="19" t="s">
        <v>27</v>
      </c>
      <c r="B43" s="23">
        <v>0</v>
      </c>
      <c r="C43" s="23"/>
      <c r="D43" s="20">
        <f t="shared" si="12"/>
        <v>0</v>
      </c>
      <c r="E43" s="19">
        <v>1</v>
      </c>
      <c r="F43" s="5">
        <f>1722.1-1656.8</f>
        <v>65.299999999999955</v>
      </c>
      <c r="G43" s="30" t="e">
        <f t="shared" si="13"/>
        <v>#NUM!</v>
      </c>
      <c r="H43" s="31"/>
    </row>
    <row r="44" spans="1:8" x14ac:dyDescent="0.2">
      <c r="A44" s="19" t="s">
        <v>48</v>
      </c>
      <c r="B44" s="42">
        <v>0</v>
      </c>
      <c r="D44" s="20">
        <f t="shared" si="12"/>
        <v>0</v>
      </c>
      <c r="E44" s="5">
        <v>1</v>
      </c>
      <c r="F44" s="5">
        <f>1740.5-1672.9</f>
        <v>67.599999999999909</v>
      </c>
      <c r="G44" s="30" t="e">
        <f t="shared" si="13"/>
        <v>#NUM!</v>
      </c>
      <c r="H44" s="31"/>
    </row>
    <row r="45" spans="1:8" ht="51" x14ac:dyDescent="0.2">
      <c r="A45" s="2" t="s">
        <v>32</v>
      </c>
      <c r="B45" s="48" t="s">
        <v>0</v>
      </c>
      <c r="C45" s="48"/>
      <c r="D45" s="18" t="s">
        <v>1</v>
      </c>
      <c r="E45" s="25" t="s">
        <v>4</v>
      </c>
      <c r="F45" s="18" t="s">
        <v>2</v>
      </c>
      <c r="G45" s="29" t="s">
        <v>3</v>
      </c>
      <c r="H45" s="31"/>
    </row>
    <row r="46" spans="1:8" x14ac:dyDescent="0.2">
      <c r="A46" s="19" t="s">
        <v>19</v>
      </c>
      <c r="B46" s="42">
        <v>0</v>
      </c>
      <c r="C46" s="42">
        <v>0</v>
      </c>
      <c r="D46">
        <f>AVERAGE(B46:C46)</f>
        <v>0</v>
      </c>
      <c r="E46" s="5">
        <v>1</v>
      </c>
      <c r="F46" s="5">
        <f>1655.1-1639.5</f>
        <v>15.599999999999909</v>
      </c>
      <c r="G46" s="30" t="e">
        <f>LOG10(D46*100*E46/F46*1000)</f>
        <v>#NUM!</v>
      </c>
      <c r="H46" s="31"/>
    </row>
    <row r="47" spans="1:8" x14ac:dyDescent="0.2">
      <c r="A47" s="19" t="s">
        <v>20</v>
      </c>
      <c r="B47" s="42">
        <v>0</v>
      </c>
      <c r="C47" s="42">
        <v>0</v>
      </c>
      <c r="D47" s="20">
        <f t="shared" ref="D47:D55" si="14">AVERAGE(B47:C47)</f>
        <v>0</v>
      </c>
      <c r="E47" s="19">
        <v>1</v>
      </c>
      <c r="F47" s="19">
        <f>1818.1-1807</f>
        <v>11.099999999999909</v>
      </c>
      <c r="G47" s="30" t="e">
        <f>LOG10(D47*100*E47/F47*1000)</f>
        <v>#NUM!</v>
      </c>
      <c r="H47" s="31"/>
    </row>
    <row r="48" spans="1:8" x14ac:dyDescent="0.2">
      <c r="A48" s="19" t="s">
        <v>21</v>
      </c>
      <c r="B48" s="42">
        <v>0</v>
      </c>
      <c r="C48" s="42">
        <v>0</v>
      </c>
      <c r="D48" s="20">
        <f t="shared" si="14"/>
        <v>0</v>
      </c>
      <c r="E48" s="19">
        <v>1</v>
      </c>
      <c r="F48" s="19">
        <f>1681.6-1660.4</f>
        <v>21.199999999999818</v>
      </c>
      <c r="G48" s="30" t="e">
        <f t="shared" ref="G48:G55" si="15">LOG10(D48*100*E48/F48*1000)</f>
        <v>#NUM!</v>
      </c>
      <c r="H48" s="29"/>
    </row>
    <row r="49" spans="1:8" x14ac:dyDescent="0.2">
      <c r="A49" s="19" t="s">
        <v>22</v>
      </c>
      <c r="B49" s="42">
        <v>0</v>
      </c>
      <c r="C49" s="42">
        <v>0</v>
      </c>
      <c r="D49" s="20">
        <f t="shared" si="14"/>
        <v>0</v>
      </c>
      <c r="E49" s="19">
        <v>1</v>
      </c>
      <c r="F49" s="19">
        <f>1660.6-1646.2</f>
        <v>14.399999999999864</v>
      </c>
      <c r="G49" s="30" t="e">
        <f t="shared" si="15"/>
        <v>#NUM!</v>
      </c>
      <c r="H49" s="31"/>
    </row>
    <row r="50" spans="1:8" ht="17" x14ac:dyDescent="0.2">
      <c r="A50" s="41" t="s">
        <v>23</v>
      </c>
      <c r="B50" s="22">
        <v>0</v>
      </c>
      <c r="C50" s="22"/>
      <c r="D50" s="20">
        <f t="shared" si="14"/>
        <v>0</v>
      </c>
      <c r="E50" s="43">
        <v>1</v>
      </c>
      <c r="F50" s="21">
        <f>1694.9-1680</f>
        <v>14.900000000000091</v>
      </c>
      <c r="G50" s="30" t="e">
        <f t="shared" si="15"/>
        <v>#NUM!</v>
      </c>
      <c r="H50" s="31"/>
    </row>
    <row r="51" spans="1:8" x14ac:dyDescent="0.2">
      <c r="A51" s="19" t="s">
        <v>24</v>
      </c>
      <c r="B51" s="42">
        <v>0</v>
      </c>
      <c r="C51" s="20"/>
      <c r="D51" s="20">
        <f t="shared" si="14"/>
        <v>0</v>
      </c>
      <c r="E51" s="19">
        <v>1</v>
      </c>
      <c r="F51" s="19">
        <f>1681.4-1665.5</f>
        <v>15.900000000000091</v>
      </c>
      <c r="G51" s="30" t="e">
        <f t="shared" si="15"/>
        <v>#NUM!</v>
      </c>
      <c r="H51" s="31"/>
    </row>
    <row r="52" spans="1:8" x14ac:dyDescent="0.2">
      <c r="A52" s="19" t="s">
        <v>15</v>
      </c>
      <c r="B52" s="42">
        <v>0</v>
      </c>
      <c r="C52" s="20"/>
      <c r="D52" s="20">
        <f t="shared" si="14"/>
        <v>0</v>
      </c>
      <c r="E52" s="19">
        <v>1</v>
      </c>
      <c r="F52" s="19">
        <f>1623.2-1591.1</f>
        <v>32.100000000000136</v>
      </c>
      <c r="G52" s="30" t="e">
        <f t="shared" si="15"/>
        <v>#NUM!</v>
      </c>
      <c r="H52" s="31"/>
    </row>
    <row r="53" spans="1:8" x14ac:dyDescent="0.2">
      <c r="A53" s="19" t="s">
        <v>26</v>
      </c>
      <c r="B53" s="42">
        <v>0</v>
      </c>
      <c r="C53" s="20"/>
      <c r="D53" s="20">
        <f t="shared" si="14"/>
        <v>0</v>
      </c>
      <c r="E53" s="19">
        <v>1</v>
      </c>
      <c r="F53" s="19">
        <f>1752.9-1725.9</f>
        <v>27</v>
      </c>
      <c r="G53" s="30" t="e">
        <f t="shared" si="15"/>
        <v>#NUM!</v>
      </c>
      <c r="H53" s="31"/>
    </row>
    <row r="54" spans="1:8" x14ac:dyDescent="0.2">
      <c r="A54" s="19" t="s">
        <v>27</v>
      </c>
      <c r="B54" s="23">
        <v>0</v>
      </c>
      <c r="C54" s="23"/>
      <c r="D54" s="20">
        <f t="shared" si="14"/>
        <v>0</v>
      </c>
      <c r="E54" s="19">
        <v>1</v>
      </c>
      <c r="F54" s="5">
        <f>1638.7-1609</f>
        <v>29.700000000000045</v>
      </c>
      <c r="G54" s="30" t="e">
        <f t="shared" si="15"/>
        <v>#NUM!</v>
      </c>
      <c r="H54" s="31"/>
    </row>
    <row r="55" spans="1:8" x14ac:dyDescent="0.2">
      <c r="A55" s="19" t="s">
        <v>48</v>
      </c>
      <c r="B55" s="42">
        <v>0</v>
      </c>
      <c r="D55" s="20">
        <f t="shared" si="14"/>
        <v>0</v>
      </c>
      <c r="E55" s="5">
        <v>1</v>
      </c>
      <c r="F55" s="5">
        <f>1696.4-1661.7</f>
        <v>34.700000000000045</v>
      </c>
      <c r="G55" s="30" t="e">
        <f t="shared" si="15"/>
        <v>#NUM!</v>
      </c>
      <c r="H55" s="31"/>
    </row>
    <row r="56" spans="1:8" ht="51" x14ac:dyDescent="0.2">
      <c r="A56" s="2" t="s">
        <v>33</v>
      </c>
      <c r="B56" s="48" t="s">
        <v>0</v>
      </c>
      <c r="C56" s="48"/>
      <c r="D56" s="18" t="s">
        <v>1</v>
      </c>
      <c r="E56" s="25" t="s">
        <v>4</v>
      </c>
      <c r="F56" s="18" t="s">
        <v>2</v>
      </c>
      <c r="G56" s="29" t="s">
        <v>3</v>
      </c>
      <c r="H56" s="31"/>
    </row>
    <row r="57" spans="1:8" x14ac:dyDescent="0.2">
      <c r="A57" s="19" t="s">
        <v>19</v>
      </c>
      <c r="B57" s="42">
        <v>0</v>
      </c>
      <c r="C57" s="42">
        <v>0</v>
      </c>
      <c r="D57">
        <f>AVERAGE(B57:C57)</f>
        <v>0</v>
      </c>
      <c r="E57" s="5">
        <v>1</v>
      </c>
      <c r="F57" s="5">
        <f>1765-1729.5</f>
        <v>35.5</v>
      </c>
      <c r="G57" s="30" t="e">
        <f>LOG10(D57*100*E57/#REF!*1000)</f>
        <v>#REF!</v>
      </c>
      <c r="H57" s="31"/>
    </row>
    <row r="58" spans="1:8" x14ac:dyDescent="0.2">
      <c r="A58" s="19" t="s">
        <v>20</v>
      </c>
      <c r="B58" s="42">
        <v>0</v>
      </c>
      <c r="C58" s="42">
        <v>0</v>
      </c>
      <c r="D58" s="20">
        <f t="shared" ref="D58:D66" si="16">AVERAGE(B58:C58)</f>
        <v>0</v>
      </c>
      <c r="E58" s="19">
        <v>1</v>
      </c>
      <c r="F58" s="19">
        <f>1687.2-1677.1</f>
        <v>10.100000000000136</v>
      </c>
      <c r="G58" s="30" t="e">
        <f>LOG10(D58*100*E58/#REF!*1000)</f>
        <v>#REF!</v>
      </c>
      <c r="H58" s="31"/>
    </row>
    <row r="59" spans="1:8" x14ac:dyDescent="0.2">
      <c r="A59" s="19" t="s">
        <v>21</v>
      </c>
      <c r="B59" s="42">
        <v>0</v>
      </c>
      <c r="C59" s="42">
        <v>0</v>
      </c>
      <c r="D59" s="20">
        <f t="shared" si="16"/>
        <v>0</v>
      </c>
      <c r="E59" s="19">
        <v>1</v>
      </c>
      <c r="F59" s="19">
        <f>1759-1662</f>
        <v>97</v>
      </c>
      <c r="G59" s="30" t="e">
        <f>LOG10(D59*100*E59/#REF!*1000)</f>
        <v>#REF!</v>
      </c>
      <c r="H59" s="31"/>
    </row>
    <row r="60" spans="1:8" x14ac:dyDescent="0.2">
      <c r="A60" s="19" t="s">
        <v>22</v>
      </c>
      <c r="B60" s="42">
        <v>0</v>
      </c>
      <c r="C60" s="42">
        <v>0</v>
      </c>
      <c r="D60" s="20">
        <f t="shared" si="16"/>
        <v>0</v>
      </c>
      <c r="E60" s="19">
        <v>1</v>
      </c>
      <c r="F60" s="19">
        <f>1715.1-1609.7</f>
        <v>105.39999999999986</v>
      </c>
      <c r="G60" s="30" t="e">
        <f>LOG10(D60*100*E60/#REF!*1000)</f>
        <v>#REF!</v>
      </c>
      <c r="H60" s="31"/>
    </row>
    <row r="61" spans="1:8" ht="17" x14ac:dyDescent="0.2">
      <c r="A61" s="34" t="s">
        <v>23</v>
      </c>
      <c r="B61" s="22">
        <v>0</v>
      </c>
      <c r="C61" s="22"/>
      <c r="D61" s="20">
        <f t="shared" si="16"/>
        <v>0</v>
      </c>
      <c r="E61" s="43">
        <v>1</v>
      </c>
      <c r="F61" s="21">
        <f>1950-1797.9</f>
        <v>152.09999999999991</v>
      </c>
      <c r="G61" s="30" t="e">
        <f>LOG10(D61*100*E61/#REF!*1000)</f>
        <v>#REF!</v>
      </c>
      <c r="H61" s="31"/>
    </row>
    <row r="62" spans="1:8" x14ac:dyDescent="0.2">
      <c r="A62" s="19" t="s">
        <v>18</v>
      </c>
      <c r="B62" s="42">
        <v>0</v>
      </c>
      <c r="C62" s="20"/>
      <c r="D62" s="20">
        <f t="shared" si="16"/>
        <v>0</v>
      </c>
      <c r="E62" s="19">
        <v>1</v>
      </c>
      <c r="F62" s="19">
        <f>1693.8-1624</f>
        <v>69.799999999999955</v>
      </c>
      <c r="G62" s="30" t="e">
        <f t="shared" ref="G62:G66" si="17">LOG10(D62*100*E62/F62*1000)</f>
        <v>#NUM!</v>
      </c>
      <c r="H62" s="31"/>
    </row>
    <row r="63" spans="1:8" x14ac:dyDescent="0.2">
      <c r="A63" s="19" t="s">
        <v>15</v>
      </c>
      <c r="B63" s="42">
        <v>0</v>
      </c>
      <c r="C63" s="20"/>
      <c r="D63" s="20">
        <f t="shared" si="16"/>
        <v>0</v>
      </c>
      <c r="E63" s="19">
        <v>1</v>
      </c>
      <c r="F63" s="19">
        <f>1676.9-1621.5</f>
        <v>55.400000000000091</v>
      </c>
      <c r="G63" s="30" t="e">
        <f t="shared" si="17"/>
        <v>#NUM!</v>
      </c>
      <c r="H63" s="31"/>
    </row>
    <row r="64" spans="1:8" x14ac:dyDescent="0.2">
      <c r="A64" s="19" t="s">
        <v>26</v>
      </c>
      <c r="B64" s="42">
        <v>0</v>
      </c>
      <c r="C64" s="20"/>
      <c r="D64" s="20">
        <f t="shared" si="16"/>
        <v>0</v>
      </c>
      <c r="E64" s="19">
        <v>1</v>
      </c>
      <c r="F64" s="19">
        <f>1678.5-1665.4</f>
        <v>13.099999999999909</v>
      </c>
      <c r="G64" s="30" t="e">
        <f t="shared" si="17"/>
        <v>#NUM!</v>
      </c>
      <c r="H64" s="31"/>
    </row>
    <row r="65" spans="1:8" x14ac:dyDescent="0.2">
      <c r="A65" s="19" t="s">
        <v>27</v>
      </c>
      <c r="B65" s="23">
        <v>0</v>
      </c>
      <c r="C65" s="23"/>
      <c r="D65" s="20">
        <f t="shared" si="16"/>
        <v>0</v>
      </c>
      <c r="E65" s="19">
        <v>1</v>
      </c>
      <c r="F65" s="5">
        <f>1762.2-1711.4</f>
        <v>50.799999999999955</v>
      </c>
      <c r="G65" s="30" t="e">
        <f t="shared" si="17"/>
        <v>#NUM!</v>
      </c>
      <c r="H65" s="31"/>
    </row>
    <row r="66" spans="1:8" x14ac:dyDescent="0.2">
      <c r="A66" s="19" t="s">
        <v>48</v>
      </c>
      <c r="B66" s="42">
        <v>0</v>
      </c>
      <c r="D66" s="20">
        <f t="shared" si="16"/>
        <v>0</v>
      </c>
      <c r="E66" s="5">
        <v>1</v>
      </c>
      <c r="F66" s="5">
        <f>1719.3-1673</f>
        <v>46.299999999999955</v>
      </c>
      <c r="G66" s="30" t="e">
        <f t="shared" si="17"/>
        <v>#NUM!</v>
      </c>
      <c r="H66" s="31"/>
    </row>
    <row r="67" spans="1:8" x14ac:dyDescent="0.2">
      <c r="A67" s="19"/>
      <c r="B67" s="20"/>
      <c r="C67" s="20"/>
      <c r="D67" s="20"/>
      <c r="E67" s="19"/>
      <c r="F67" s="5"/>
      <c r="G67" s="30"/>
      <c r="H67" s="31"/>
    </row>
    <row r="68" spans="1:8" x14ac:dyDescent="0.2">
      <c r="A68" s="36"/>
      <c r="B68" s="48"/>
      <c r="C68" s="48"/>
      <c r="D68" s="16"/>
      <c r="E68" s="25"/>
      <c r="F68" s="16"/>
      <c r="G68" s="30"/>
      <c r="H68" s="31"/>
    </row>
    <row r="69" spans="1:8" ht="51" x14ac:dyDescent="0.2">
      <c r="A69" s="2" t="s">
        <v>34</v>
      </c>
      <c r="B69" s="48" t="s">
        <v>0</v>
      </c>
      <c r="C69" s="48"/>
      <c r="D69" s="18" t="s">
        <v>1</v>
      </c>
      <c r="E69" s="25" t="s">
        <v>4</v>
      </c>
      <c r="F69" s="18" t="s">
        <v>2</v>
      </c>
      <c r="G69" s="29" t="s">
        <v>3</v>
      </c>
      <c r="H69" s="31"/>
    </row>
    <row r="70" spans="1:8" x14ac:dyDescent="0.2">
      <c r="A70" s="19" t="s">
        <v>19</v>
      </c>
      <c r="B70" s="42">
        <v>0</v>
      </c>
      <c r="C70" s="42">
        <v>0</v>
      </c>
      <c r="D70">
        <f>AVERAGE(B70:C70)</f>
        <v>0</v>
      </c>
      <c r="E70" s="5">
        <v>1</v>
      </c>
      <c r="F70" s="5">
        <f>1675.5-1637.1</f>
        <v>38.400000000000091</v>
      </c>
      <c r="G70" s="30" t="e">
        <f>LOG10(D70*100*E70/F70*1000)</f>
        <v>#NUM!</v>
      </c>
      <c r="H70" s="31"/>
    </row>
    <row r="71" spans="1:8" x14ac:dyDescent="0.2">
      <c r="A71" s="19" t="s">
        <v>20</v>
      </c>
      <c r="B71" s="42">
        <v>0</v>
      </c>
      <c r="C71" s="42">
        <v>0</v>
      </c>
      <c r="D71" s="20">
        <f t="shared" ref="D71:D79" si="18">AVERAGE(B71:C71)</f>
        <v>0</v>
      </c>
      <c r="E71" s="19">
        <v>1</v>
      </c>
      <c r="F71" s="19">
        <f>1836.7-1744.2</f>
        <v>92.5</v>
      </c>
      <c r="G71" s="30" t="e">
        <f t="shared" ref="G71:G75" si="19">LOG10(D71*100*E71/F71*1000)</f>
        <v>#NUM!</v>
      </c>
      <c r="H71" s="31"/>
    </row>
    <row r="72" spans="1:8" x14ac:dyDescent="0.2">
      <c r="A72" s="19" t="s">
        <v>25</v>
      </c>
      <c r="B72" s="42">
        <v>0</v>
      </c>
      <c r="C72" s="42">
        <v>0</v>
      </c>
      <c r="D72" s="20">
        <f t="shared" si="18"/>
        <v>0</v>
      </c>
      <c r="E72" s="19">
        <v>1</v>
      </c>
      <c r="F72" s="19">
        <f>1828.4-1716.5</f>
        <v>111.90000000000009</v>
      </c>
      <c r="G72" s="30" t="e">
        <f t="shared" si="19"/>
        <v>#NUM!</v>
      </c>
      <c r="H72" s="31"/>
    </row>
    <row r="73" spans="1:8" x14ac:dyDescent="0.2">
      <c r="A73" s="19" t="s">
        <v>22</v>
      </c>
      <c r="B73" s="42">
        <v>0</v>
      </c>
      <c r="C73" s="42">
        <v>0</v>
      </c>
      <c r="D73" s="20">
        <f t="shared" si="18"/>
        <v>0</v>
      </c>
      <c r="E73" s="19">
        <v>1</v>
      </c>
      <c r="F73" s="19">
        <f>1702.5-1594.4</f>
        <v>108.09999999999991</v>
      </c>
      <c r="G73" s="30" t="e">
        <f t="shared" si="19"/>
        <v>#NUM!</v>
      </c>
      <c r="H73" s="29"/>
    </row>
    <row r="74" spans="1:8" ht="17" x14ac:dyDescent="0.2">
      <c r="A74" s="34" t="s">
        <v>23</v>
      </c>
      <c r="B74" s="22">
        <v>0</v>
      </c>
      <c r="C74" s="22"/>
      <c r="D74" s="20">
        <f t="shared" si="18"/>
        <v>0</v>
      </c>
      <c r="E74" s="43">
        <v>1</v>
      </c>
      <c r="F74" s="21">
        <f>1771.1-1615.3</f>
        <v>155.79999999999995</v>
      </c>
      <c r="G74" s="30" t="e">
        <f t="shared" si="19"/>
        <v>#NUM!</v>
      </c>
      <c r="H74" s="31"/>
    </row>
    <row r="75" spans="1:8" x14ac:dyDescent="0.2">
      <c r="A75" s="19" t="s">
        <v>18</v>
      </c>
      <c r="B75" s="42">
        <v>0</v>
      </c>
      <c r="C75" s="20"/>
      <c r="D75" s="20">
        <f t="shared" si="18"/>
        <v>0</v>
      </c>
      <c r="E75" s="19">
        <v>1</v>
      </c>
      <c r="F75" s="19">
        <f>1806.7-1751.2</f>
        <v>55.5</v>
      </c>
      <c r="G75" s="30" t="e">
        <f t="shared" si="19"/>
        <v>#NUM!</v>
      </c>
      <c r="H75" s="31"/>
    </row>
    <row r="76" spans="1:8" x14ac:dyDescent="0.2">
      <c r="A76" s="19" t="s">
        <v>15</v>
      </c>
      <c r="B76" s="42">
        <v>0</v>
      </c>
      <c r="C76" s="20"/>
      <c r="D76" s="20">
        <f t="shared" si="18"/>
        <v>0</v>
      </c>
      <c r="E76" s="19">
        <v>1</v>
      </c>
      <c r="F76" s="19">
        <f>1798-1698.7</f>
        <v>99.299999999999955</v>
      </c>
      <c r="G76" s="30" t="e">
        <f>LOG10(D76*100*E76/F76*1000)</f>
        <v>#NUM!</v>
      </c>
      <c r="H76" s="31"/>
    </row>
    <row r="77" spans="1:8" x14ac:dyDescent="0.2">
      <c r="A77" s="19" t="s">
        <v>26</v>
      </c>
      <c r="B77" s="42">
        <v>0</v>
      </c>
      <c r="C77" s="20"/>
      <c r="D77" s="20">
        <f t="shared" si="18"/>
        <v>0</v>
      </c>
      <c r="E77" s="19">
        <v>1</v>
      </c>
      <c r="F77" s="19">
        <f>1883.7-1797</f>
        <v>86.700000000000045</v>
      </c>
      <c r="G77" s="30" t="e">
        <f>LOG10(D77*100*E77/F77*1000)</f>
        <v>#NUM!</v>
      </c>
      <c r="H77" s="31"/>
    </row>
    <row r="78" spans="1:8" x14ac:dyDescent="0.2">
      <c r="A78" s="19" t="s">
        <v>27</v>
      </c>
      <c r="B78" s="23">
        <v>0</v>
      </c>
      <c r="C78" s="23"/>
      <c r="D78" s="20">
        <f t="shared" si="18"/>
        <v>0</v>
      </c>
      <c r="E78" s="19">
        <v>1</v>
      </c>
      <c r="F78" s="16">
        <f>1909.8-1809.5</f>
        <v>100.29999999999995</v>
      </c>
      <c r="G78" s="30" t="e">
        <f>LOG10(D78*100*E78/F78*1000)</f>
        <v>#NUM!</v>
      </c>
      <c r="H78" s="31"/>
    </row>
    <row r="79" spans="1:8" x14ac:dyDescent="0.2">
      <c r="A79" s="19" t="s">
        <v>48</v>
      </c>
      <c r="B79" s="42">
        <v>0</v>
      </c>
      <c r="D79" s="20">
        <f t="shared" si="18"/>
        <v>0</v>
      </c>
      <c r="E79" s="5">
        <v>1</v>
      </c>
      <c r="F79" s="5">
        <f>1785.6-1676.9</f>
        <v>108.69999999999982</v>
      </c>
      <c r="G79" s="30" t="e">
        <f>LOG10(D79*100*E79/F79*1000)</f>
        <v>#NUM!</v>
      </c>
      <c r="H79" s="31"/>
    </row>
    <row r="80" spans="1:8" ht="51" x14ac:dyDescent="0.2">
      <c r="A80" s="2" t="s">
        <v>35</v>
      </c>
      <c r="B80" s="48" t="s">
        <v>0</v>
      </c>
      <c r="C80" s="48"/>
      <c r="D80" s="18" t="s">
        <v>1</v>
      </c>
      <c r="E80" s="25" t="s">
        <v>4</v>
      </c>
      <c r="F80" s="18" t="s">
        <v>2</v>
      </c>
      <c r="G80" s="29" t="s">
        <v>3</v>
      </c>
      <c r="H80" s="31"/>
    </row>
    <row r="81" spans="1:8" x14ac:dyDescent="0.2">
      <c r="A81" s="19" t="s">
        <v>19</v>
      </c>
      <c r="B81" s="42">
        <v>0</v>
      </c>
      <c r="C81" s="42">
        <v>0</v>
      </c>
      <c r="D81">
        <f>AVERAGE(B81:C81)</f>
        <v>0</v>
      </c>
      <c r="E81" s="5">
        <v>1</v>
      </c>
      <c r="F81" s="5">
        <f>1829.3-1815.1</f>
        <v>14.200000000000045</v>
      </c>
      <c r="G81" s="30" t="e">
        <f>LOG10(D81*100*E81/F81*1000)</f>
        <v>#NUM!</v>
      </c>
      <c r="H81" s="31"/>
    </row>
    <row r="82" spans="1:8" x14ac:dyDescent="0.2">
      <c r="A82" s="19" t="s">
        <v>20</v>
      </c>
      <c r="B82" s="42">
        <v>0</v>
      </c>
      <c r="C82" s="42">
        <v>0</v>
      </c>
      <c r="D82" s="20">
        <f t="shared" ref="D82:D90" si="20">AVERAGE(B82:C82)</f>
        <v>0</v>
      </c>
      <c r="E82" s="19">
        <v>1</v>
      </c>
      <c r="F82" s="19">
        <f>1807.7-1656.2</f>
        <v>151.5</v>
      </c>
      <c r="G82" s="30" t="e">
        <f t="shared" ref="G82:G85" si="21">LOG10(D82*100*E82/F82*1000)</f>
        <v>#NUM!</v>
      </c>
      <c r="H82" s="31"/>
    </row>
    <row r="83" spans="1:8" x14ac:dyDescent="0.2">
      <c r="A83" s="19" t="s">
        <v>21</v>
      </c>
      <c r="B83" s="42">
        <v>0</v>
      </c>
      <c r="C83" s="42">
        <v>0</v>
      </c>
      <c r="D83" s="20">
        <f t="shared" si="20"/>
        <v>0</v>
      </c>
      <c r="E83" s="19">
        <v>1</v>
      </c>
      <c r="F83" s="19">
        <f>1907.4-1676</f>
        <v>231.40000000000009</v>
      </c>
      <c r="G83" s="30" t="e">
        <f t="shared" si="21"/>
        <v>#NUM!</v>
      </c>
      <c r="H83" s="31"/>
    </row>
    <row r="84" spans="1:8" x14ac:dyDescent="0.2">
      <c r="A84" s="19" t="s">
        <v>22</v>
      </c>
      <c r="B84" s="42">
        <v>0</v>
      </c>
      <c r="C84" s="42">
        <v>0</v>
      </c>
      <c r="D84" s="20">
        <f t="shared" si="20"/>
        <v>0</v>
      </c>
      <c r="E84" s="19">
        <v>1</v>
      </c>
      <c r="F84" s="19">
        <f>1945.2-1810.4</f>
        <v>134.79999999999995</v>
      </c>
      <c r="G84" s="30" t="e">
        <f t="shared" si="21"/>
        <v>#NUM!</v>
      </c>
      <c r="H84" s="31"/>
    </row>
    <row r="85" spans="1:8" ht="17" x14ac:dyDescent="0.2">
      <c r="A85" s="41" t="s">
        <v>23</v>
      </c>
      <c r="B85" s="22">
        <v>0</v>
      </c>
      <c r="C85" s="22"/>
      <c r="D85" s="20">
        <f t="shared" si="20"/>
        <v>0</v>
      </c>
      <c r="E85" s="43">
        <v>1</v>
      </c>
      <c r="F85" s="43">
        <f>1948.1-1750.2</f>
        <v>197.89999999999986</v>
      </c>
      <c r="G85" s="30" t="e">
        <f t="shared" si="21"/>
        <v>#NUM!</v>
      </c>
      <c r="H85" s="31"/>
    </row>
    <row r="86" spans="1:8" x14ac:dyDescent="0.2">
      <c r="A86" s="19" t="s">
        <v>24</v>
      </c>
      <c r="B86" s="42">
        <v>0</v>
      </c>
      <c r="C86" s="20"/>
      <c r="D86" s="20">
        <f t="shared" si="20"/>
        <v>0</v>
      </c>
      <c r="E86" s="19">
        <v>1</v>
      </c>
      <c r="F86" s="5">
        <f>1724.5-1623.6</f>
        <v>100.90000000000009</v>
      </c>
      <c r="G86" s="30" t="e">
        <f>LOG10(D86*100*E86/F97*1000)</f>
        <v>#NUM!</v>
      </c>
      <c r="H86" s="31"/>
    </row>
    <row r="87" spans="1:8" x14ac:dyDescent="0.2">
      <c r="A87" s="19" t="s">
        <v>15</v>
      </c>
      <c r="B87" s="42">
        <v>0</v>
      </c>
      <c r="C87" s="20"/>
      <c r="D87" s="20">
        <f t="shared" si="20"/>
        <v>0</v>
      </c>
      <c r="E87" s="19">
        <v>1</v>
      </c>
      <c r="F87" s="5">
        <f>1831.6-1714.7</f>
        <v>116.89999999999986</v>
      </c>
      <c r="G87" s="30" t="e">
        <f>LOG10(D87*100*E87/F98*1000)</f>
        <v>#NUM!</v>
      </c>
      <c r="H87" s="31"/>
    </row>
    <row r="88" spans="1:8" x14ac:dyDescent="0.2">
      <c r="A88" s="19" t="s">
        <v>26</v>
      </c>
      <c r="B88" s="42">
        <v>0</v>
      </c>
      <c r="C88" s="20"/>
      <c r="D88" s="20">
        <f t="shared" si="20"/>
        <v>0</v>
      </c>
      <c r="E88" s="19">
        <v>1</v>
      </c>
      <c r="F88" s="5">
        <f>1811.8-1741.9</f>
        <v>69.899999999999864</v>
      </c>
      <c r="G88" s="30" t="e">
        <f>LOG10(D88*100*E88/F99*1000)</f>
        <v>#NUM!</v>
      </c>
      <c r="H88" s="31"/>
    </row>
    <row r="89" spans="1:8" x14ac:dyDescent="0.2">
      <c r="A89" s="19" t="s">
        <v>27</v>
      </c>
      <c r="B89" s="23">
        <v>0</v>
      </c>
      <c r="C89" s="23"/>
      <c r="D89" s="20">
        <f t="shared" si="20"/>
        <v>0</v>
      </c>
      <c r="E89" s="19">
        <v>1</v>
      </c>
      <c r="F89" s="5">
        <f>1782.4-1660.1</f>
        <v>122.30000000000018</v>
      </c>
      <c r="G89" s="30" t="e">
        <f>LOG10(D89*100*E89/F100*1000)</f>
        <v>#NUM!</v>
      </c>
      <c r="H89" s="31"/>
    </row>
    <row r="90" spans="1:8" x14ac:dyDescent="0.2">
      <c r="A90" s="19" t="s">
        <v>48</v>
      </c>
      <c r="B90" s="42">
        <v>0</v>
      </c>
      <c r="D90" s="20">
        <f t="shared" si="20"/>
        <v>0</v>
      </c>
      <c r="E90" s="5">
        <v>1</v>
      </c>
      <c r="F90" s="5">
        <f>1692.9-1613.5</f>
        <v>79.400000000000091</v>
      </c>
      <c r="G90" s="30" t="e">
        <f>LOG10(D90*100*E90/F101*1000)</f>
        <v>#NUM!</v>
      </c>
      <c r="H90" s="31"/>
    </row>
    <row r="91" spans="1:8" ht="51" x14ac:dyDescent="0.2">
      <c r="A91" s="2" t="s">
        <v>36</v>
      </c>
      <c r="B91" s="48" t="s">
        <v>0</v>
      </c>
      <c r="C91" s="48"/>
      <c r="D91" s="18" t="s">
        <v>1</v>
      </c>
      <c r="E91" s="25" t="s">
        <v>4</v>
      </c>
      <c r="F91" s="18" t="s">
        <v>2</v>
      </c>
      <c r="G91" s="29" t="s">
        <v>3</v>
      </c>
      <c r="H91" s="31"/>
    </row>
    <row r="92" spans="1:8" x14ac:dyDescent="0.2">
      <c r="A92" s="19" t="s">
        <v>19</v>
      </c>
      <c r="B92" s="42">
        <v>0</v>
      </c>
      <c r="C92" s="42">
        <v>0</v>
      </c>
      <c r="D92">
        <f>AVERAGE(B92:C92)</f>
        <v>0</v>
      </c>
      <c r="E92" s="5">
        <v>1</v>
      </c>
      <c r="F92" s="5">
        <f>1745.9-1728.7</f>
        <v>17.200000000000045</v>
      </c>
      <c r="G92" s="31" t="e">
        <f>LOG10(D92*100*E92/F92*1000)</f>
        <v>#NUM!</v>
      </c>
      <c r="H92" s="31"/>
    </row>
    <row r="93" spans="1:8" x14ac:dyDescent="0.2">
      <c r="A93" s="19" t="s">
        <v>20</v>
      </c>
      <c r="B93" s="42">
        <v>0</v>
      </c>
      <c r="C93" s="42">
        <v>0</v>
      </c>
      <c r="D93" s="20">
        <f t="shared" ref="D93:D101" si="22">AVERAGE(B93:C93)</f>
        <v>0</v>
      </c>
      <c r="E93" s="19">
        <v>1</v>
      </c>
      <c r="F93" s="19">
        <f>1674.1-1659.7</f>
        <v>14.399999999999864</v>
      </c>
      <c r="G93" s="31" t="e">
        <f t="shared" ref="G93:G101" si="23">LOG10(D93*100*E93/F93*1000)</f>
        <v>#NUM!</v>
      </c>
      <c r="H93" s="31"/>
    </row>
    <row r="94" spans="1:8" x14ac:dyDescent="0.2">
      <c r="A94" s="19" t="s">
        <v>21</v>
      </c>
      <c r="B94" s="42">
        <v>0</v>
      </c>
      <c r="C94" s="42">
        <v>0</v>
      </c>
      <c r="D94" s="20">
        <f t="shared" si="22"/>
        <v>0</v>
      </c>
      <c r="E94" s="19">
        <v>1</v>
      </c>
      <c r="F94" s="19">
        <f>1843.8-1758.6</f>
        <v>85.200000000000045</v>
      </c>
      <c r="G94" s="31" t="e">
        <f t="shared" si="23"/>
        <v>#NUM!</v>
      </c>
      <c r="H94" s="31"/>
    </row>
    <row r="95" spans="1:8" x14ac:dyDescent="0.2">
      <c r="A95" s="19" t="s">
        <v>22</v>
      </c>
      <c r="B95" s="42">
        <v>0</v>
      </c>
      <c r="C95" s="42">
        <v>0</v>
      </c>
      <c r="D95" s="20">
        <f t="shared" si="22"/>
        <v>0</v>
      </c>
      <c r="E95" s="19">
        <v>1</v>
      </c>
      <c r="F95" s="19">
        <f>1749.3-1709.3</f>
        <v>40</v>
      </c>
      <c r="G95" s="31" t="e">
        <f t="shared" si="23"/>
        <v>#NUM!</v>
      </c>
      <c r="H95" s="31"/>
    </row>
    <row r="96" spans="1:8" ht="16" customHeight="1" x14ac:dyDescent="0.2">
      <c r="A96" s="34" t="s">
        <v>23</v>
      </c>
      <c r="B96" s="22">
        <v>0</v>
      </c>
      <c r="C96" s="22"/>
      <c r="D96" s="20">
        <f t="shared" si="22"/>
        <v>0</v>
      </c>
      <c r="E96" s="43">
        <v>1</v>
      </c>
      <c r="F96" s="21">
        <f>1754.4-1727.7</f>
        <v>26.700000000000045</v>
      </c>
      <c r="G96" s="31" t="e">
        <f t="shared" si="23"/>
        <v>#NUM!</v>
      </c>
      <c r="H96" s="29"/>
    </row>
    <row r="97" spans="1:8" x14ac:dyDescent="0.2">
      <c r="A97" s="19" t="s">
        <v>18</v>
      </c>
      <c r="B97" s="42">
        <v>0</v>
      </c>
      <c r="C97" s="20"/>
      <c r="D97" s="20">
        <f t="shared" si="22"/>
        <v>0</v>
      </c>
      <c r="E97" s="19">
        <v>1</v>
      </c>
      <c r="F97" s="19">
        <f>1625.4-1613.4</f>
        <v>12</v>
      </c>
      <c r="G97" s="31" t="e">
        <f t="shared" si="23"/>
        <v>#NUM!</v>
      </c>
      <c r="H97" s="31"/>
    </row>
    <row r="98" spans="1:8" x14ac:dyDescent="0.2">
      <c r="A98" s="19" t="s">
        <v>15</v>
      </c>
      <c r="B98" s="42">
        <v>0</v>
      </c>
      <c r="C98" s="20"/>
      <c r="D98" s="20">
        <f t="shared" si="22"/>
        <v>0</v>
      </c>
      <c r="E98" s="19">
        <v>1</v>
      </c>
      <c r="F98" s="19">
        <f>1767.4-1711.5</f>
        <v>55.900000000000091</v>
      </c>
      <c r="G98" s="31" t="e">
        <f t="shared" si="23"/>
        <v>#NUM!</v>
      </c>
      <c r="H98" s="31"/>
    </row>
    <row r="99" spans="1:8" x14ac:dyDescent="0.2">
      <c r="A99" s="19" t="s">
        <v>26</v>
      </c>
      <c r="B99" s="42">
        <v>0</v>
      </c>
      <c r="C99" s="20"/>
      <c r="D99" s="20">
        <f t="shared" si="22"/>
        <v>0</v>
      </c>
      <c r="E99" s="19">
        <v>1</v>
      </c>
      <c r="F99" s="19">
        <f>1836.3-1778.3</f>
        <v>58</v>
      </c>
      <c r="G99" s="31" t="e">
        <f t="shared" si="23"/>
        <v>#NUM!</v>
      </c>
      <c r="H99" s="31"/>
    </row>
    <row r="100" spans="1:8" x14ac:dyDescent="0.2">
      <c r="A100" s="19" t="s">
        <v>27</v>
      </c>
      <c r="B100" s="23">
        <v>0</v>
      </c>
      <c r="C100" s="23"/>
      <c r="D100" s="20">
        <f t="shared" si="22"/>
        <v>0</v>
      </c>
      <c r="E100" s="19">
        <v>1</v>
      </c>
      <c r="F100" s="5">
        <f>1702.6-1693.9</f>
        <v>8.6999999999998181</v>
      </c>
      <c r="G100" s="31" t="e">
        <f t="shared" si="23"/>
        <v>#NUM!</v>
      </c>
      <c r="H100" s="31"/>
    </row>
    <row r="101" spans="1:8" x14ac:dyDescent="0.2">
      <c r="A101" s="19" t="s">
        <v>48</v>
      </c>
      <c r="B101" s="42">
        <v>0</v>
      </c>
      <c r="D101" s="20">
        <f t="shared" si="22"/>
        <v>0</v>
      </c>
      <c r="E101" s="5">
        <v>1</v>
      </c>
      <c r="F101" s="5">
        <f>1812-1791.9</f>
        <v>20.099999999999909</v>
      </c>
      <c r="G101" s="31" t="e">
        <f t="shared" si="23"/>
        <v>#NUM!</v>
      </c>
      <c r="H101" s="31"/>
    </row>
    <row r="102" spans="1:8" x14ac:dyDescent="0.2">
      <c r="A102" s="19"/>
      <c r="B102" s="20"/>
      <c r="C102" s="20"/>
      <c r="D102" s="20"/>
      <c r="E102" s="19"/>
      <c r="F102" s="5"/>
      <c r="G102" s="31"/>
      <c r="H102" s="31"/>
    </row>
    <row r="103" spans="1:8" x14ac:dyDescent="0.2">
      <c r="A103" s="19"/>
      <c r="E103" s="5"/>
      <c r="F103" s="5"/>
      <c r="G103" s="31"/>
      <c r="H103" s="31"/>
    </row>
    <row r="104" spans="1:8" ht="51" x14ac:dyDescent="0.2">
      <c r="A104" s="2" t="s">
        <v>37</v>
      </c>
      <c r="B104" s="48" t="s">
        <v>0</v>
      </c>
      <c r="C104" s="48"/>
      <c r="D104" s="27" t="s">
        <v>1</v>
      </c>
      <c r="E104" s="27" t="s">
        <v>4</v>
      </c>
      <c r="F104" s="27" t="s">
        <v>2</v>
      </c>
      <c r="G104" s="29" t="s">
        <v>3</v>
      </c>
      <c r="H104" s="31"/>
    </row>
    <row r="105" spans="1:8" x14ac:dyDescent="0.2">
      <c r="A105" s="19" t="s">
        <v>19</v>
      </c>
      <c r="B105" s="42">
        <v>0</v>
      </c>
      <c r="C105" s="42">
        <v>0</v>
      </c>
      <c r="D105">
        <f>AVERAGE(B105:C105)</f>
        <v>0</v>
      </c>
      <c r="E105" s="5">
        <v>1</v>
      </c>
      <c r="F105" s="5">
        <f>1692.5-1660.2</f>
        <v>32.299999999999955</v>
      </c>
      <c r="G105" s="31" t="e">
        <f>LOG10(D105*100*E105/F105*1000)</f>
        <v>#NUM!</v>
      </c>
      <c r="H105" s="31"/>
    </row>
    <row r="106" spans="1:8" x14ac:dyDescent="0.2">
      <c r="A106" s="19" t="s">
        <v>20</v>
      </c>
      <c r="B106" s="42">
        <v>0</v>
      </c>
      <c r="C106" s="42">
        <v>0</v>
      </c>
      <c r="D106" s="20">
        <f t="shared" ref="D106:D114" si="24">AVERAGE(B106:C106)</f>
        <v>0</v>
      </c>
      <c r="E106" s="19">
        <v>1</v>
      </c>
      <c r="F106" s="19">
        <f>1653.7-1604</f>
        <v>49.700000000000045</v>
      </c>
      <c r="G106" s="31" t="e">
        <f t="shared" ref="G106:G114" si="25">LOG10(D106*100*E106/F106*1000)</f>
        <v>#NUM!</v>
      </c>
      <c r="H106" s="31"/>
    </row>
    <row r="107" spans="1:8" x14ac:dyDescent="0.2">
      <c r="A107" s="19" t="s">
        <v>21</v>
      </c>
      <c r="B107" s="42">
        <v>0</v>
      </c>
      <c r="C107" s="42">
        <v>0</v>
      </c>
      <c r="D107" s="20">
        <f t="shared" si="24"/>
        <v>0</v>
      </c>
      <c r="E107" s="19">
        <v>1</v>
      </c>
      <c r="F107" s="19">
        <f>1815-1699.5</f>
        <v>115.5</v>
      </c>
      <c r="G107" s="31" t="e">
        <f t="shared" si="25"/>
        <v>#NUM!</v>
      </c>
      <c r="H107" s="31"/>
    </row>
    <row r="108" spans="1:8" x14ac:dyDescent="0.2">
      <c r="A108" s="19" t="s">
        <v>22</v>
      </c>
      <c r="B108" s="42">
        <v>0</v>
      </c>
      <c r="C108" s="42">
        <v>0</v>
      </c>
      <c r="D108" s="20">
        <f t="shared" si="24"/>
        <v>0</v>
      </c>
      <c r="E108" s="19">
        <v>1</v>
      </c>
      <c r="F108" s="19">
        <f>1835.8-1634.4</f>
        <v>201.39999999999986</v>
      </c>
      <c r="G108" s="31" t="e">
        <f t="shared" si="25"/>
        <v>#NUM!</v>
      </c>
      <c r="H108" s="31"/>
    </row>
    <row r="109" spans="1:8" ht="17" x14ac:dyDescent="0.2">
      <c r="A109" s="34" t="s">
        <v>23</v>
      </c>
      <c r="B109" s="22">
        <v>0</v>
      </c>
      <c r="C109" s="22"/>
      <c r="D109" s="20">
        <f t="shared" si="24"/>
        <v>0</v>
      </c>
      <c r="E109" s="43">
        <v>1</v>
      </c>
      <c r="F109" s="28">
        <f>1974.4-1738.6</f>
        <v>235.80000000000018</v>
      </c>
      <c r="G109" s="31" t="e">
        <f t="shared" si="25"/>
        <v>#NUM!</v>
      </c>
      <c r="H109" s="31"/>
    </row>
    <row r="110" spans="1:8" x14ac:dyDescent="0.2">
      <c r="A110" s="19" t="s">
        <v>18</v>
      </c>
      <c r="B110" s="42">
        <v>0</v>
      </c>
      <c r="C110" s="20"/>
      <c r="D110" s="20">
        <f t="shared" si="24"/>
        <v>0</v>
      </c>
      <c r="E110" s="19">
        <v>1</v>
      </c>
      <c r="F110" s="19">
        <f>1597.6-1562.1</f>
        <v>35.5</v>
      </c>
      <c r="G110" s="31" t="e">
        <f t="shared" si="25"/>
        <v>#NUM!</v>
      </c>
      <c r="H110" s="31"/>
    </row>
    <row r="111" spans="1:8" x14ac:dyDescent="0.2">
      <c r="A111" s="19" t="s">
        <v>15</v>
      </c>
      <c r="B111" s="42">
        <v>0</v>
      </c>
      <c r="C111" s="20"/>
      <c r="D111" s="20">
        <f t="shared" si="24"/>
        <v>0</v>
      </c>
      <c r="E111" s="19">
        <v>1</v>
      </c>
      <c r="F111" s="19">
        <f>1901-1785.8</f>
        <v>115.20000000000005</v>
      </c>
      <c r="G111" s="31" t="e">
        <f t="shared" si="25"/>
        <v>#NUM!</v>
      </c>
      <c r="H111" s="31"/>
    </row>
    <row r="112" spans="1:8" x14ac:dyDescent="0.2">
      <c r="A112" s="19" t="s">
        <v>26</v>
      </c>
      <c r="B112" s="42">
        <v>0</v>
      </c>
      <c r="C112" s="20"/>
      <c r="D112" s="20">
        <f t="shared" si="24"/>
        <v>0</v>
      </c>
      <c r="E112" s="19">
        <v>1</v>
      </c>
      <c r="F112" s="19">
        <f>1812.2-1776.5</f>
        <v>35.700000000000045</v>
      </c>
      <c r="G112" s="30" t="e">
        <f t="shared" si="25"/>
        <v>#NUM!</v>
      </c>
      <c r="H112" s="31"/>
    </row>
    <row r="113" spans="1:8" x14ac:dyDescent="0.2">
      <c r="A113" s="19" t="s">
        <v>27</v>
      </c>
      <c r="B113" s="23">
        <v>0</v>
      </c>
      <c r="C113" s="23"/>
      <c r="D113" s="20">
        <f t="shared" si="24"/>
        <v>0</v>
      </c>
      <c r="E113" s="19">
        <v>1</v>
      </c>
      <c r="F113" s="39">
        <f>1722.5-1651.7</f>
        <v>70.799999999999955</v>
      </c>
      <c r="G113" s="30" t="e">
        <f t="shared" si="25"/>
        <v>#NUM!</v>
      </c>
      <c r="H113" s="31"/>
    </row>
    <row r="114" spans="1:8" x14ac:dyDescent="0.2">
      <c r="A114" s="19" t="s">
        <v>48</v>
      </c>
      <c r="B114" s="42">
        <v>0</v>
      </c>
      <c r="D114" s="20">
        <f t="shared" si="24"/>
        <v>0</v>
      </c>
      <c r="E114" s="5">
        <v>1</v>
      </c>
      <c r="F114" s="39">
        <f>1936-1829.6</f>
        <v>106.40000000000009</v>
      </c>
      <c r="G114" s="30" t="e">
        <f t="shared" si="25"/>
        <v>#NUM!</v>
      </c>
      <c r="H114" s="31"/>
    </row>
    <row r="115" spans="1:8" x14ac:dyDescent="0.2">
      <c r="A115" s="19"/>
      <c r="B115" s="20"/>
      <c r="C115" s="20"/>
      <c r="D115" s="20"/>
      <c r="E115" s="19"/>
      <c r="F115" s="39"/>
      <c r="G115" s="30"/>
      <c r="H115" s="31"/>
    </row>
    <row r="116" spans="1:8" x14ac:dyDescent="0.2">
      <c r="A116" s="5"/>
      <c r="F116" s="39"/>
      <c r="G116" s="30"/>
      <c r="H116" s="31"/>
    </row>
    <row r="117" spans="1:8" x14ac:dyDescent="0.2">
      <c r="A117" s="2"/>
      <c r="B117" s="48"/>
      <c r="C117" s="48"/>
      <c r="D117" s="33"/>
      <c r="E117" s="33"/>
      <c r="F117" s="33"/>
      <c r="G117" s="29"/>
      <c r="H117" s="31"/>
    </row>
    <row r="118" spans="1:8" ht="51" x14ac:dyDescent="0.2">
      <c r="A118" s="2" t="s">
        <v>38</v>
      </c>
      <c r="B118" s="48" t="s">
        <v>0</v>
      </c>
      <c r="C118" s="48"/>
      <c r="D118" s="40" t="s">
        <v>1</v>
      </c>
      <c r="E118" s="40" t="s">
        <v>4</v>
      </c>
      <c r="F118" s="40" t="s">
        <v>2</v>
      </c>
      <c r="G118" s="29" t="s">
        <v>3</v>
      </c>
      <c r="H118" s="31"/>
    </row>
    <row r="119" spans="1:8" x14ac:dyDescent="0.2">
      <c r="A119" s="19" t="s">
        <v>19</v>
      </c>
      <c r="B119">
        <v>2</v>
      </c>
      <c r="C119">
        <v>1</v>
      </c>
      <c r="D119">
        <f>AVERAGE(B119:C119)</f>
        <v>1.5</v>
      </c>
      <c r="E119" s="5">
        <v>1</v>
      </c>
      <c r="F119" s="5">
        <f>1626.9-1596.8</f>
        <v>30.100000000000136</v>
      </c>
      <c r="G119" s="30">
        <f>LOG10(D119*100*E119/F119*1000)</f>
        <v>3.697524763461836</v>
      </c>
      <c r="H119" s="31"/>
    </row>
    <row r="120" spans="1:8" x14ac:dyDescent="0.2">
      <c r="A120" s="19" t="s">
        <v>20</v>
      </c>
      <c r="B120" s="20">
        <v>74</v>
      </c>
      <c r="C120" s="20">
        <v>64</v>
      </c>
      <c r="D120" s="20">
        <f t="shared" ref="D120:D128" si="26">AVERAGE(B120:C120)</f>
        <v>69</v>
      </c>
      <c r="E120" s="19">
        <v>1000</v>
      </c>
      <c r="F120" s="19">
        <f>2111.8-1859.3</f>
        <v>252.50000000000023</v>
      </c>
      <c r="G120" s="30">
        <f>LOG10(D120*100*E120/F120*1000)</f>
        <v>7.4365877082825751</v>
      </c>
      <c r="H120" s="31"/>
    </row>
    <row r="121" spans="1:8" x14ac:dyDescent="0.2">
      <c r="A121" s="19" t="s">
        <v>21</v>
      </c>
      <c r="B121" s="20">
        <v>10</v>
      </c>
      <c r="C121" s="20">
        <v>10</v>
      </c>
      <c r="D121" s="20">
        <f t="shared" si="26"/>
        <v>10</v>
      </c>
      <c r="E121" s="19">
        <v>10000</v>
      </c>
      <c r="F121" s="19">
        <f>1680.2-1650.4</f>
        <v>29.799999999999955</v>
      </c>
      <c r="G121" s="30">
        <f t="shared" ref="G121:G128" si="27">LOG10(D121*100*E121/F121*1000)</f>
        <v>8.5257837359237456</v>
      </c>
      <c r="H121" s="31"/>
    </row>
    <row r="122" spans="1:8" x14ac:dyDescent="0.2">
      <c r="A122" s="19" t="s">
        <v>22</v>
      </c>
      <c r="B122" s="20">
        <v>42</v>
      </c>
      <c r="C122" s="20">
        <v>28</v>
      </c>
      <c r="D122" s="20">
        <f t="shared" si="26"/>
        <v>35</v>
      </c>
      <c r="E122" s="19">
        <v>1000</v>
      </c>
      <c r="F122" s="19">
        <f>1696.9-1678.6</f>
        <v>18.300000000000182</v>
      </c>
      <c r="G122" s="30">
        <f t="shared" si="27"/>
        <v>8.2816169546198424</v>
      </c>
      <c r="H122" s="31"/>
    </row>
    <row r="123" spans="1:8" ht="17" x14ac:dyDescent="0.2">
      <c r="A123" s="41" t="s">
        <v>23</v>
      </c>
      <c r="B123" s="22">
        <v>24</v>
      </c>
      <c r="C123" s="22">
        <v>29</v>
      </c>
      <c r="D123" s="20">
        <f t="shared" si="26"/>
        <v>26.5</v>
      </c>
      <c r="E123" s="41">
        <v>10000</v>
      </c>
      <c r="F123" s="41">
        <f>1769.7-1726.7</f>
        <v>43</v>
      </c>
      <c r="G123" s="30">
        <f t="shared" si="27"/>
        <v>8.7897774183572217</v>
      </c>
      <c r="H123" s="29"/>
    </row>
    <row r="124" spans="1:8" x14ac:dyDescent="0.2">
      <c r="A124" s="19" t="s">
        <v>18</v>
      </c>
      <c r="B124" s="20">
        <v>11</v>
      </c>
      <c r="C124" s="20">
        <v>10</v>
      </c>
      <c r="D124" s="20">
        <f t="shared" si="26"/>
        <v>10.5</v>
      </c>
      <c r="E124" s="19">
        <v>10000</v>
      </c>
      <c r="F124" s="19">
        <f>1589.7-1561</f>
        <v>28.700000000000045</v>
      </c>
      <c r="G124" s="30">
        <f t="shared" si="27"/>
        <v>8.5633074023359459</v>
      </c>
      <c r="H124" s="31"/>
    </row>
    <row r="125" spans="1:8" x14ac:dyDescent="0.2">
      <c r="A125" s="19" t="s">
        <v>15</v>
      </c>
      <c r="B125" s="20">
        <v>4</v>
      </c>
      <c r="C125" s="20">
        <v>3</v>
      </c>
      <c r="D125" s="20">
        <f t="shared" si="26"/>
        <v>3.5</v>
      </c>
      <c r="E125" s="19">
        <v>10000</v>
      </c>
      <c r="F125" s="19">
        <f>1829.4-1663.1</f>
        <v>166.30000000000018</v>
      </c>
      <c r="G125" s="30">
        <f t="shared" si="27"/>
        <v>7.3231757951307559</v>
      </c>
      <c r="H125" s="31"/>
    </row>
    <row r="126" spans="1:8" x14ac:dyDescent="0.2">
      <c r="A126" s="19" t="s">
        <v>26</v>
      </c>
      <c r="B126" s="20">
        <v>31</v>
      </c>
      <c r="C126" s="20">
        <v>31</v>
      </c>
      <c r="D126" s="20">
        <f t="shared" si="26"/>
        <v>31</v>
      </c>
      <c r="E126" s="19">
        <v>100</v>
      </c>
      <c r="F126" s="19">
        <f>1764.9-1699</f>
        <v>65.900000000000091</v>
      </c>
      <c r="G126" s="30">
        <f t="shared" si="27"/>
        <v>6.6724762792402625</v>
      </c>
      <c r="H126" s="31"/>
    </row>
    <row r="127" spans="1:8" x14ac:dyDescent="0.2">
      <c r="A127" s="19" t="s">
        <v>27</v>
      </c>
      <c r="B127" s="20">
        <v>6</v>
      </c>
      <c r="C127" s="20">
        <v>9</v>
      </c>
      <c r="D127" s="20">
        <f t="shared" si="26"/>
        <v>7.5</v>
      </c>
      <c r="E127" s="19">
        <v>10000</v>
      </c>
      <c r="F127" s="5">
        <f>1954.6-1750.7</f>
        <v>203.89999999999986</v>
      </c>
      <c r="G127" s="30">
        <f t="shared" si="27"/>
        <v>7.5656440376135601</v>
      </c>
      <c r="H127" s="31"/>
    </row>
    <row r="128" spans="1:8" ht="17" x14ac:dyDescent="0.2">
      <c r="A128" s="41" t="s">
        <v>48</v>
      </c>
      <c r="B128" s="40">
        <v>19</v>
      </c>
      <c r="C128" s="40">
        <v>23</v>
      </c>
      <c r="D128" s="20">
        <f t="shared" si="26"/>
        <v>21</v>
      </c>
      <c r="E128" s="40">
        <v>100</v>
      </c>
      <c r="F128" s="40">
        <f>1766.2-1671.3</f>
        <v>94.900000000000091</v>
      </c>
      <c r="G128" s="30">
        <f t="shared" si="27"/>
        <v>6.3449530823066258</v>
      </c>
      <c r="H128" s="31"/>
    </row>
    <row r="129" spans="1:8" ht="51" x14ac:dyDescent="0.2">
      <c r="A129" s="2" t="s">
        <v>39</v>
      </c>
      <c r="B129" s="48" t="s">
        <v>0</v>
      </c>
      <c r="C129" s="48"/>
      <c r="D129" s="40" t="s">
        <v>1</v>
      </c>
      <c r="E129" s="40" t="s">
        <v>4</v>
      </c>
      <c r="F129" s="40" t="s">
        <v>2</v>
      </c>
      <c r="G129" s="29" t="s">
        <v>3</v>
      </c>
      <c r="H129" s="31"/>
    </row>
    <row r="130" spans="1:8" x14ac:dyDescent="0.2">
      <c r="A130" s="19" t="s">
        <v>19</v>
      </c>
      <c r="B130" s="42">
        <v>39</v>
      </c>
      <c r="C130">
        <v>29</v>
      </c>
      <c r="D130">
        <f>AVERAGE(B130:C130)</f>
        <v>34</v>
      </c>
      <c r="E130" s="5">
        <v>1000</v>
      </c>
      <c r="F130" s="5">
        <f>1687-1657.1</f>
        <v>29.900000000000091</v>
      </c>
      <c r="G130" s="30">
        <f>LOG10(D130*100*E130/F130*1000)</f>
        <v>8.0558077287178236</v>
      </c>
      <c r="H130" s="31"/>
    </row>
    <row r="131" spans="1:8" x14ac:dyDescent="0.2">
      <c r="A131" s="19" t="s">
        <v>20</v>
      </c>
      <c r="B131" s="20">
        <v>73</v>
      </c>
      <c r="C131" s="20">
        <v>85</v>
      </c>
      <c r="D131" s="20">
        <f t="shared" ref="D131:D139" si="28">AVERAGE(B131:C131)</f>
        <v>79</v>
      </c>
      <c r="E131" s="19">
        <v>1000</v>
      </c>
      <c r="F131" s="19">
        <f>1752.9-1685.1</f>
        <v>67.800000000000182</v>
      </c>
      <c r="G131" s="30">
        <f>LOG10(D131*100*E131/F131*1000)</f>
        <v>8.0663973974233762</v>
      </c>
      <c r="H131" s="31"/>
    </row>
    <row r="132" spans="1:8" x14ac:dyDescent="0.2">
      <c r="A132" s="19" t="s">
        <v>21</v>
      </c>
      <c r="B132" s="20">
        <v>7</v>
      </c>
      <c r="C132" s="20">
        <v>9</v>
      </c>
      <c r="D132" s="20">
        <f t="shared" si="28"/>
        <v>8</v>
      </c>
      <c r="E132" s="19">
        <v>10000</v>
      </c>
      <c r="F132" s="19">
        <f>1819.7-1720.4</f>
        <v>99.299999999999955</v>
      </c>
      <c r="G132" s="30">
        <f t="shared" ref="G132:G139" si="29">LOG10(D132*100*E132/F132*1000)</f>
        <v>7.9061407384965623</v>
      </c>
      <c r="H132" s="31"/>
    </row>
    <row r="133" spans="1:8" x14ac:dyDescent="0.2">
      <c r="A133" s="19" t="s">
        <v>22</v>
      </c>
      <c r="B133" s="20">
        <v>95</v>
      </c>
      <c r="C133" s="20">
        <v>82</v>
      </c>
      <c r="D133" s="20">
        <f t="shared" si="28"/>
        <v>88.5</v>
      </c>
      <c r="E133" s="19">
        <v>1000</v>
      </c>
      <c r="F133" s="19">
        <f>1687.5-1613.3</f>
        <v>74.200000000000045</v>
      </c>
      <c r="G133" s="30">
        <f t="shared" si="29"/>
        <v>8.0765393654187978</v>
      </c>
      <c r="H133" s="31"/>
    </row>
    <row r="134" spans="1:8" ht="17" x14ac:dyDescent="0.2">
      <c r="A134" s="41" t="s">
        <v>23</v>
      </c>
      <c r="B134" s="22">
        <v>5</v>
      </c>
      <c r="C134" s="22">
        <v>3</v>
      </c>
      <c r="D134" s="20">
        <f t="shared" si="28"/>
        <v>4</v>
      </c>
      <c r="E134" s="41">
        <v>10000</v>
      </c>
      <c r="F134" s="41">
        <f>1785.1-1685</f>
        <v>100.09999999999991</v>
      </c>
      <c r="G134" s="30">
        <f t="shared" si="29"/>
        <v>7.6016259138486442</v>
      </c>
      <c r="H134" s="31"/>
    </row>
    <row r="135" spans="1:8" x14ac:dyDescent="0.2">
      <c r="A135" s="19" t="s">
        <v>24</v>
      </c>
      <c r="B135" s="20">
        <v>8</v>
      </c>
      <c r="C135" s="20">
        <v>5</v>
      </c>
      <c r="D135" s="20">
        <f t="shared" si="28"/>
        <v>6.5</v>
      </c>
      <c r="E135" s="19">
        <v>10000</v>
      </c>
      <c r="F135" s="19">
        <f>1687.5-1673.5</f>
        <v>14</v>
      </c>
      <c r="G135" s="30">
        <f t="shared" si="29"/>
        <v>8.6667853209646175</v>
      </c>
      <c r="H135" s="31"/>
    </row>
    <row r="136" spans="1:8" x14ac:dyDescent="0.2">
      <c r="A136" s="19" t="s">
        <v>15</v>
      </c>
      <c r="B136" s="20">
        <v>6</v>
      </c>
      <c r="C136" s="20">
        <v>6</v>
      </c>
      <c r="D136" s="20">
        <f t="shared" si="28"/>
        <v>6</v>
      </c>
      <c r="E136" s="19">
        <v>10000</v>
      </c>
      <c r="F136" s="19">
        <f>1808.7-1636.6</f>
        <v>172.10000000000014</v>
      </c>
      <c r="G136" s="30">
        <f t="shared" si="29"/>
        <v>7.5423703800560835</v>
      </c>
      <c r="H136" s="31"/>
    </row>
    <row r="137" spans="1:8" x14ac:dyDescent="0.2">
      <c r="A137" s="19" t="s">
        <v>26</v>
      </c>
      <c r="B137" s="23">
        <v>5</v>
      </c>
      <c r="C137" s="20">
        <v>10</v>
      </c>
      <c r="D137" s="20">
        <f t="shared" si="28"/>
        <v>7.5</v>
      </c>
      <c r="E137" s="19">
        <v>100</v>
      </c>
      <c r="F137" s="19">
        <f>1726.9-1661.9</f>
        <v>65</v>
      </c>
      <c r="G137" s="30">
        <f t="shared" si="29"/>
        <v>6.0621479067488444</v>
      </c>
      <c r="H137" s="31"/>
    </row>
    <row r="138" spans="1:8" x14ac:dyDescent="0.2">
      <c r="A138" s="19" t="s">
        <v>27</v>
      </c>
      <c r="B138" s="20">
        <v>4</v>
      </c>
      <c r="C138" s="23">
        <v>5</v>
      </c>
      <c r="D138" s="20">
        <f t="shared" si="28"/>
        <v>4.5</v>
      </c>
      <c r="E138" s="40">
        <v>100</v>
      </c>
      <c r="F138" s="40">
        <f>1750.7-1703.5</f>
        <v>47.200000000000045</v>
      </c>
      <c r="G138" s="30">
        <f t="shared" si="29"/>
        <v>5.9792705151412555</v>
      </c>
      <c r="H138" s="31"/>
    </row>
    <row r="139" spans="1:8" ht="17" x14ac:dyDescent="0.2">
      <c r="A139" s="41" t="s">
        <v>48</v>
      </c>
      <c r="B139" s="20">
        <v>10</v>
      </c>
      <c r="C139" s="23">
        <v>7</v>
      </c>
      <c r="D139" s="20">
        <f t="shared" si="28"/>
        <v>8.5</v>
      </c>
      <c r="E139" s="40">
        <v>1</v>
      </c>
      <c r="F139" s="40">
        <f>1843.6-1721.8</f>
        <v>121.79999999999995</v>
      </c>
      <c r="G139" s="30">
        <f t="shared" si="29"/>
        <v>3.8437716374174364</v>
      </c>
      <c r="H139" s="31"/>
    </row>
    <row r="140" spans="1:8" x14ac:dyDescent="0.2">
      <c r="A140" s="41"/>
      <c r="B140" s="20"/>
      <c r="C140" s="23"/>
      <c r="D140" s="20"/>
      <c r="E140" s="40"/>
      <c r="F140" s="40"/>
      <c r="G140" s="30"/>
      <c r="H140" s="31"/>
    </row>
    <row r="141" spans="1:8" x14ac:dyDescent="0.2">
      <c r="A141" s="19"/>
      <c r="E141" s="5"/>
      <c r="F141" s="5"/>
      <c r="G141" s="30"/>
      <c r="H141" s="31"/>
    </row>
    <row r="142" spans="1:8" ht="51" x14ac:dyDescent="0.2">
      <c r="A142" s="2" t="s">
        <v>40</v>
      </c>
      <c r="B142" s="48" t="s">
        <v>0</v>
      </c>
      <c r="C142" s="48"/>
      <c r="D142" s="40" t="s">
        <v>1</v>
      </c>
      <c r="E142" s="40" t="s">
        <v>4</v>
      </c>
      <c r="F142" s="40" t="s">
        <v>2</v>
      </c>
      <c r="G142" s="29" t="s">
        <v>3</v>
      </c>
      <c r="H142" s="31"/>
    </row>
    <row r="143" spans="1:8" x14ac:dyDescent="0.2">
      <c r="A143" s="19" t="s">
        <v>19</v>
      </c>
      <c r="B143">
        <v>11</v>
      </c>
      <c r="C143">
        <v>10</v>
      </c>
      <c r="D143">
        <f>AVERAGE(B143:C143)</f>
        <v>10.5</v>
      </c>
      <c r="E143" s="5">
        <v>1000</v>
      </c>
      <c r="F143" s="5">
        <f>1674.9-1648.2</f>
        <v>26.700000000000045</v>
      </c>
      <c r="G143" s="30">
        <f>LOG10(D143*100*E143/F143*1000)</f>
        <v>7.5946780377053624</v>
      </c>
      <c r="H143" s="31"/>
    </row>
    <row r="144" spans="1:8" x14ac:dyDescent="0.2">
      <c r="A144" s="19" t="s">
        <v>20</v>
      </c>
      <c r="B144" s="20">
        <v>10</v>
      </c>
      <c r="C144" s="20">
        <v>9</v>
      </c>
      <c r="D144" s="20">
        <f t="shared" ref="D144:D152" si="30">AVERAGE(B144:C144)</f>
        <v>9.5</v>
      </c>
      <c r="E144" s="19">
        <v>10000</v>
      </c>
      <c r="F144" s="19">
        <f>1764.7-1681</f>
        <v>83.700000000000045</v>
      </c>
      <c r="G144" s="30">
        <f>LOG10(D144*100*E144/F144*1000)</f>
        <v>8.0549981472955867</v>
      </c>
      <c r="H144" s="31"/>
    </row>
    <row r="145" spans="1:8" x14ac:dyDescent="0.2">
      <c r="A145" s="19" t="s">
        <v>21</v>
      </c>
      <c r="B145" s="20">
        <v>7</v>
      </c>
      <c r="C145" s="20">
        <v>4</v>
      </c>
      <c r="D145" s="20">
        <f t="shared" si="30"/>
        <v>5.5</v>
      </c>
      <c r="E145" s="19">
        <v>10000</v>
      </c>
      <c r="F145" s="19">
        <f>1731.9-1652.7</f>
        <v>79.200000000000045</v>
      </c>
      <c r="G145" s="30">
        <f t="shared" ref="G145:G152" si="31">LOG10(D145*100*E145/F145*1000)</f>
        <v>7.8416375079047498</v>
      </c>
      <c r="H145" s="31"/>
    </row>
    <row r="146" spans="1:8" x14ac:dyDescent="0.2">
      <c r="A146" s="19" t="s">
        <v>22</v>
      </c>
      <c r="B146" s="20">
        <v>130</v>
      </c>
      <c r="C146" s="20">
        <v>110</v>
      </c>
      <c r="D146" s="20">
        <f t="shared" si="30"/>
        <v>120</v>
      </c>
      <c r="E146" s="19">
        <v>1000</v>
      </c>
      <c r="F146" s="19">
        <f>1738.9-1644.5</f>
        <v>94.400000000000091</v>
      </c>
      <c r="G146" s="30">
        <f t="shared" si="31"/>
        <v>8.1042092517495554</v>
      </c>
      <c r="H146" s="29"/>
    </row>
    <row r="147" spans="1:8" ht="17" x14ac:dyDescent="0.2">
      <c r="A147" s="41" t="s">
        <v>23</v>
      </c>
      <c r="B147" s="22">
        <v>10</v>
      </c>
      <c r="C147" s="22">
        <v>8</v>
      </c>
      <c r="D147" s="20">
        <f t="shared" si="30"/>
        <v>9</v>
      </c>
      <c r="E147" s="41">
        <v>10000</v>
      </c>
      <c r="F147" s="41">
        <f>1760.4-1683.2</f>
        <v>77.200000000000045</v>
      </c>
      <c r="G147" s="30">
        <f t="shared" si="31"/>
        <v>8.0666252091035879</v>
      </c>
      <c r="H147" s="31"/>
    </row>
    <row r="148" spans="1:8" x14ac:dyDescent="0.2">
      <c r="A148" s="19" t="s">
        <v>18</v>
      </c>
      <c r="B148" s="20">
        <v>19</v>
      </c>
      <c r="C148" s="20">
        <v>15</v>
      </c>
      <c r="D148" s="20">
        <f t="shared" si="30"/>
        <v>17</v>
      </c>
      <c r="E148" s="19">
        <v>10000</v>
      </c>
      <c r="F148" s="19">
        <f>1658.5-1642.1</f>
        <v>16.400000000000091</v>
      </c>
      <c r="G148" s="30">
        <f t="shared" si="31"/>
        <v>9.0156050733305744</v>
      </c>
      <c r="H148" s="31"/>
    </row>
    <row r="149" spans="1:8" x14ac:dyDescent="0.2">
      <c r="A149" s="19" t="s">
        <v>15</v>
      </c>
      <c r="B149" s="20">
        <v>36</v>
      </c>
      <c r="C149" s="20">
        <v>47</v>
      </c>
      <c r="D149" s="20">
        <f t="shared" si="30"/>
        <v>41.5</v>
      </c>
      <c r="E149" s="19">
        <v>10000</v>
      </c>
      <c r="F149" s="19">
        <f>1626.7-1545</f>
        <v>81.700000000000045</v>
      </c>
      <c r="G149" s="30">
        <f t="shared" si="31"/>
        <v>8.7058260401796765</v>
      </c>
      <c r="H149" s="31"/>
    </row>
    <row r="150" spans="1:8" x14ac:dyDescent="0.2">
      <c r="A150" s="19" t="s">
        <v>26</v>
      </c>
      <c r="B150" s="20">
        <v>65</v>
      </c>
      <c r="C150" s="20">
        <v>73</v>
      </c>
      <c r="D150" s="20">
        <f t="shared" si="30"/>
        <v>69</v>
      </c>
      <c r="E150" s="19">
        <v>100</v>
      </c>
      <c r="F150" s="19">
        <f>1689.3-1659.9</f>
        <v>29.399999999999864</v>
      </c>
      <c r="G150" s="30">
        <f t="shared" si="31"/>
        <v>7.3705017603250997</v>
      </c>
      <c r="H150" s="31"/>
    </row>
    <row r="151" spans="1:8" x14ac:dyDescent="0.2">
      <c r="A151" s="19" t="s">
        <v>27</v>
      </c>
      <c r="B151" s="20">
        <v>27</v>
      </c>
      <c r="C151" s="20">
        <v>37</v>
      </c>
      <c r="D151" s="20">
        <f t="shared" si="30"/>
        <v>32</v>
      </c>
      <c r="E151" s="19">
        <v>100</v>
      </c>
      <c r="F151" s="5">
        <f>1826.3-1705</f>
        <v>121.29999999999995</v>
      </c>
      <c r="G151" s="30">
        <f t="shared" si="31"/>
        <v>6.4212891774533336</v>
      </c>
      <c r="H151" s="31"/>
    </row>
    <row r="152" spans="1:8" x14ac:dyDescent="0.2">
      <c r="A152" s="19" t="s">
        <v>48</v>
      </c>
      <c r="B152" s="20">
        <v>30</v>
      </c>
      <c r="C152" s="20">
        <v>28</v>
      </c>
      <c r="D152" s="20">
        <f t="shared" si="30"/>
        <v>29</v>
      </c>
      <c r="E152" s="19">
        <v>10</v>
      </c>
      <c r="F152" s="5">
        <f>1919.8-1715.5</f>
        <v>204.29999999999995</v>
      </c>
      <c r="G152" s="30">
        <f t="shared" si="31"/>
        <v>5.1521296312665088</v>
      </c>
      <c r="H152" s="31"/>
    </row>
    <row r="153" spans="1:8" x14ac:dyDescent="0.2">
      <c r="A153" s="19"/>
      <c r="B153" s="20"/>
      <c r="C153" s="20"/>
      <c r="D153" s="20"/>
      <c r="E153" s="19"/>
      <c r="F153" s="5"/>
      <c r="G153" s="30"/>
      <c r="H153" s="31"/>
    </row>
    <row r="154" spans="1:8" x14ac:dyDescent="0.2">
      <c r="A154" s="19"/>
      <c r="E154" s="5"/>
      <c r="F154" s="5"/>
      <c r="G154" s="30"/>
      <c r="H154" s="31"/>
    </row>
    <row r="155" spans="1:8" ht="51" x14ac:dyDescent="0.2">
      <c r="A155" s="2" t="s">
        <v>41</v>
      </c>
      <c r="B155" s="48" t="s">
        <v>0</v>
      </c>
      <c r="C155" s="48"/>
      <c r="D155" s="40" t="s">
        <v>1</v>
      </c>
      <c r="E155" s="40" t="s">
        <v>4</v>
      </c>
      <c r="F155" s="40" t="s">
        <v>2</v>
      </c>
      <c r="G155" s="29" t="s">
        <v>3</v>
      </c>
      <c r="H155" s="6"/>
    </row>
    <row r="156" spans="1:8" x14ac:dyDescent="0.2">
      <c r="A156" s="19" t="s">
        <v>19</v>
      </c>
      <c r="B156">
        <v>2</v>
      </c>
      <c r="C156">
        <v>2</v>
      </c>
      <c r="D156">
        <f>AVERAGE(B156:C156)</f>
        <v>2</v>
      </c>
      <c r="E156" s="5">
        <v>1</v>
      </c>
      <c r="F156" s="5">
        <f>1674.5-1654.9</f>
        <v>19.599999999999909</v>
      </c>
      <c r="G156" s="31">
        <f>LOG10(D156*100*E156/F156*1000)</f>
        <v>4.0087739243075076</v>
      </c>
      <c r="H156" s="6"/>
    </row>
    <row r="157" spans="1:8" x14ac:dyDescent="0.2">
      <c r="A157" s="19" t="s">
        <v>20</v>
      </c>
      <c r="B157" s="20">
        <v>0</v>
      </c>
      <c r="C157" s="20">
        <v>0</v>
      </c>
      <c r="D157" s="20">
        <f t="shared" ref="D157:D165" si="32">AVERAGE(B157:C157)</f>
        <v>0</v>
      </c>
      <c r="E157" s="19">
        <v>1</v>
      </c>
      <c r="F157" s="19">
        <f>1715.3-1695.1</f>
        <v>20.200000000000045</v>
      </c>
      <c r="G157" s="31" t="e">
        <f t="shared" ref="G157:G165" si="33">LOG10(D157*100*E157/F157*1000)</f>
        <v>#NUM!</v>
      </c>
      <c r="H157" s="6"/>
    </row>
    <row r="158" spans="1:8" x14ac:dyDescent="0.2">
      <c r="A158" s="19" t="s">
        <v>21</v>
      </c>
      <c r="B158" s="20">
        <v>2</v>
      </c>
      <c r="C158" s="20">
        <v>2</v>
      </c>
      <c r="D158" s="20">
        <f t="shared" si="32"/>
        <v>2</v>
      </c>
      <c r="E158" s="19">
        <v>1</v>
      </c>
      <c r="F158" s="19">
        <f>1835.2-1826.5</f>
        <v>8.7000000000000455</v>
      </c>
      <c r="G158" s="31">
        <f t="shared" si="33"/>
        <v>4.3615107430453603</v>
      </c>
      <c r="H158" s="6"/>
    </row>
    <row r="159" spans="1:8" x14ac:dyDescent="0.2">
      <c r="A159" s="19" t="s">
        <v>22</v>
      </c>
      <c r="B159" s="20">
        <v>34</v>
      </c>
      <c r="C159" s="20">
        <v>24</v>
      </c>
      <c r="D159" s="20">
        <f t="shared" si="32"/>
        <v>29</v>
      </c>
      <c r="E159" s="19">
        <v>1</v>
      </c>
      <c r="F159" s="19">
        <f>1812-1711</f>
        <v>101</v>
      </c>
      <c r="G159" s="31">
        <f t="shared" si="33"/>
        <v>4.4580766241163134</v>
      </c>
      <c r="H159" s="6"/>
    </row>
    <row r="160" spans="1:8" ht="17" x14ac:dyDescent="0.2">
      <c r="A160" s="41" t="s">
        <v>23</v>
      </c>
      <c r="B160" s="22">
        <v>9</v>
      </c>
      <c r="C160" s="22">
        <v>16</v>
      </c>
      <c r="D160" s="20">
        <f t="shared" si="32"/>
        <v>12.5</v>
      </c>
      <c r="E160" s="41">
        <v>1</v>
      </c>
      <c r="F160" s="41">
        <f>1730.7-1705.1</f>
        <v>25.600000000000136</v>
      </c>
      <c r="G160" s="31">
        <f t="shared" si="33"/>
        <v>4.6886700476962044</v>
      </c>
      <c r="H160" s="6"/>
    </row>
    <row r="161" spans="1:8" x14ac:dyDescent="0.2">
      <c r="A161" s="19" t="s">
        <v>18</v>
      </c>
      <c r="B161" s="20">
        <v>6</v>
      </c>
      <c r="C161" s="20">
        <v>13</v>
      </c>
      <c r="D161" s="20">
        <f t="shared" si="32"/>
        <v>9.5</v>
      </c>
      <c r="E161" s="19">
        <v>1</v>
      </c>
      <c r="F161" s="19">
        <f>1556.1-1536.5</f>
        <v>19.599999999999909</v>
      </c>
      <c r="G161" s="31">
        <f t="shared" si="33"/>
        <v>4.6854675339323739</v>
      </c>
      <c r="H161" s="6"/>
    </row>
    <row r="162" spans="1:8" x14ac:dyDescent="0.2">
      <c r="A162" s="19" t="s">
        <v>15</v>
      </c>
      <c r="B162" s="20">
        <v>29</v>
      </c>
      <c r="C162" s="20">
        <v>43</v>
      </c>
      <c r="D162" s="20">
        <f t="shared" si="32"/>
        <v>36</v>
      </c>
      <c r="E162" s="19">
        <v>1</v>
      </c>
      <c r="F162" s="19">
        <f>1774.2-1730.3</f>
        <v>43.900000000000091</v>
      </c>
      <c r="G162" s="31">
        <f t="shared" si="33"/>
        <v>4.9138379805251651</v>
      </c>
      <c r="H162" s="6"/>
    </row>
    <row r="163" spans="1:8" x14ac:dyDescent="0.2">
      <c r="A163" s="19" t="s">
        <v>26</v>
      </c>
      <c r="B163" s="20">
        <v>34</v>
      </c>
      <c r="C163" s="20">
        <v>26</v>
      </c>
      <c r="D163" s="20">
        <f t="shared" si="32"/>
        <v>30</v>
      </c>
      <c r="E163" s="19">
        <v>100</v>
      </c>
      <c r="F163" s="19">
        <f>1699.2-1658</f>
        <v>41.200000000000045</v>
      </c>
      <c r="G163" s="31">
        <f t="shared" si="33"/>
        <v>6.8622240386865272</v>
      </c>
      <c r="H163" s="6"/>
    </row>
    <row r="164" spans="1:8" x14ac:dyDescent="0.2">
      <c r="A164" s="19" t="s">
        <v>27</v>
      </c>
      <c r="B164" s="20">
        <v>22</v>
      </c>
      <c r="C164" s="20">
        <v>19</v>
      </c>
      <c r="D164" s="20">
        <f t="shared" si="32"/>
        <v>20.5</v>
      </c>
      <c r="E164" s="19">
        <v>100</v>
      </c>
      <c r="F164" s="5">
        <f>1722.1-1682.9</f>
        <v>39.199999999999818</v>
      </c>
      <c r="G164" s="31">
        <f t="shared" si="33"/>
        <v>6.7184677940352993</v>
      </c>
      <c r="H164" s="6"/>
    </row>
    <row r="165" spans="1:8" x14ac:dyDescent="0.2">
      <c r="A165" s="19" t="s">
        <v>48</v>
      </c>
      <c r="B165" s="20">
        <v>50</v>
      </c>
      <c r="C165" s="20">
        <v>55</v>
      </c>
      <c r="D165" s="20">
        <f t="shared" si="32"/>
        <v>52.5</v>
      </c>
      <c r="E165" s="5">
        <v>100</v>
      </c>
      <c r="F165" s="5">
        <f>1716.3-1683.6</f>
        <v>32.700000000000045</v>
      </c>
      <c r="G165" s="31">
        <f t="shared" si="33"/>
        <v>7.2056115507456706</v>
      </c>
      <c r="H165" s="6"/>
    </row>
    <row r="166" spans="1:8" ht="51" x14ac:dyDescent="0.2">
      <c r="A166" s="2" t="s">
        <v>42</v>
      </c>
      <c r="B166" s="48" t="s">
        <v>0</v>
      </c>
      <c r="C166" s="48"/>
      <c r="D166" s="40" t="s">
        <v>1</v>
      </c>
      <c r="E166" s="40" t="s">
        <v>4</v>
      </c>
      <c r="F166" s="40" t="s">
        <v>2</v>
      </c>
      <c r="G166" s="29" t="s">
        <v>3</v>
      </c>
      <c r="H166" s="6"/>
    </row>
    <row r="167" spans="1:8" x14ac:dyDescent="0.2">
      <c r="A167" s="19" t="s">
        <v>19</v>
      </c>
      <c r="B167">
        <v>5</v>
      </c>
      <c r="C167">
        <v>13</v>
      </c>
      <c r="D167">
        <f>AVERAGE(B167:C167)</f>
        <v>9</v>
      </c>
      <c r="E167" s="5">
        <v>10000</v>
      </c>
      <c r="F167" s="5">
        <f>1637.6-1596.2</f>
        <v>41.399999999999864</v>
      </c>
      <c r="G167" s="31">
        <f t="shared" ref="G167:G176" si="34">LOG10(D167*100*E167/F167*1000)</f>
        <v>8.3372421683184275</v>
      </c>
      <c r="H167" s="4"/>
    </row>
    <row r="168" spans="1:8" x14ac:dyDescent="0.2">
      <c r="A168" s="19" t="s">
        <v>20</v>
      </c>
      <c r="B168" s="20">
        <v>7</v>
      </c>
      <c r="C168" s="20">
        <v>8</v>
      </c>
      <c r="D168" s="20">
        <f t="shared" ref="D168:D176" si="35">AVERAGE(B168:C168)</f>
        <v>7.5</v>
      </c>
      <c r="E168" s="19">
        <v>10000</v>
      </c>
      <c r="F168" s="19">
        <f>1727.9-1677.2</f>
        <v>50.700000000000045</v>
      </c>
      <c r="G168" s="31">
        <f t="shared" si="34"/>
        <v>8.1700533040583636</v>
      </c>
      <c r="H168" s="4"/>
    </row>
    <row r="169" spans="1:8" x14ac:dyDescent="0.2">
      <c r="A169" s="19" t="s">
        <v>21</v>
      </c>
      <c r="B169" s="20">
        <v>13</v>
      </c>
      <c r="C169" s="20">
        <v>10</v>
      </c>
      <c r="D169" s="20">
        <f t="shared" si="35"/>
        <v>11.5</v>
      </c>
      <c r="E169" s="19">
        <v>10000</v>
      </c>
      <c r="F169" s="19">
        <f>1866.4-1770.3</f>
        <v>96.100000000000136</v>
      </c>
      <c r="G169" s="31">
        <f t="shared" si="34"/>
        <v>8.0779744526850656</v>
      </c>
      <c r="H169" s="4"/>
    </row>
    <row r="170" spans="1:8" x14ac:dyDescent="0.2">
      <c r="A170" s="19" t="s">
        <v>22</v>
      </c>
      <c r="B170" s="20">
        <v>79</v>
      </c>
      <c r="C170" s="20">
        <v>77</v>
      </c>
      <c r="D170" s="20">
        <f t="shared" si="35"/>
        <v>78</v>
      </c>
      <c r="E170" s="19">
        <v>1000</v>
      </c>
      <c r="F170" s="19">
        <f>1713.2-1603.9</f>
        <v>109.29999999999995</v>
      </c>
      <c r="G170" s="31">
        <f t="shared" si="34"/>
        <v>7.8534744407407775</v>
      </c>
    </row>
    <row r="171" spans="1:8" ht="17" x14ac:dyDescent="0.2">
      <c r="A171" s="41" t="s">
        <v>23</v>
      </c>
      <c r="B171" s="22">
        <v>42</v>
      </c>
      <c r="C171" s="22">
        <v>41</v>
      </c>
      <c r="D171" s="20">
        <f t="shared" si="35"/>
        <v>41.5</v>
      </c>
      <c r="E171" s="41">
        <v>10000</v>
      </c>
      <c r="F171" s="41">
        <f>1947.1-1768.7</f>
        <v>178.39999999999986</v>
      </c>
      <c r="G171" s="31">
        <f t="shared" si="34"/>
        <v>8.366653246671989</v>
      </c>
      <c r="H171" s="7"/>
    </row>
    <row r="172" spans="1:8" x14ac:dyDescent="0.2">
      <c r="A172" s="19" t="s">
        <v>18</v>
      </c>
      <c r="B172" s="20">
        <v>36</v>
      </c>
      <c r="C172" s="20">
        <v>35</v>
      </c>
      <c r="D172" s="20">
        <f t="shared" si="35"/>
        <v>35.5</v>
      </c>
      <c r="E172" s="19">
        <v>1000</v>
      </c>
      <c r="F172" s="19">
        <f>1670.7-1673.1</f>
        <v>-2.3999999999998636</v>
      </c>
      <c r="G172" s="31"/>
      <c r="H172" s="6"/>
    </row>
    <row r="173" spans="1:8" x14ac:dyDescent="0.2">
      <c r="A173" s="19" t="s">
        <v>15</v>
      </c>
      <c r="B173" s="20">
        <v>85</v>
      </c>
      <c r="C173" s="20">
        <v>80</v>
      </c>
      <c r="D173" s="20">
        <f t="shared" si="35"/>
        <v>82.5</v>
      </c>
      <c r="E173" s="19">
        <v>1000</v>
      </c>
      <c r="F173" s="19">
        <f>1795.1-1677</f>
        <v>118.09999999999991</v>
      </c>
      <c r="G173" s="31">
        <f>LOG10(D173*100*E173/F173*1000)</f>
        <v>7.844204050936411</v>
      </c>
      <c r="H173" s="6"/>
    </row>
    <row r="174" spans="1:8" x14ac:dyDescent="0.2">
      <c r="A174" s="5" t="s">
        <v>26</v>
      </c>
      <c r="B174" s="20">
        <v>15</v>
      </c>
      <c r="C174" s="20">
        <v>7</v>
      </c>
      <c r="D174" s="20">
        <f t="shared" si="35"/>
        <v>11</v>
      </c>
      <c r="E174" s="19">
        <v>1000</v>
      </c>
      <c r="F174">
        <f>1770.1-1693.8</f>
        <v>76.299999999999955</v>
      </c>
      <c r="G174" s="31">
        <f>LOG10(D174*100*E174/F174*1000)</f>
        <v>7.1588681472033446</v>
      </c>
      <c r="H174" s="6"/>
    </row>
    <row r="175" spans="1:8" x14ac:dyDescent="0.2">
      <c r="A175" s="5" t="s">
        <v>27</v>
      </c>
      <c r="B175" s="20">
        <v>9</v>
      </c>
      <c r="C175" s="20">
        <v>9</v>
      </c>
      <c r="D175" s="20">
        <f t="shared" si="35"/>
        <v>9</v>
      </c>
      <c r="E175" s="19">
        <v>1000</v>
      </c>
      <c r="F175">
        <f>1620.4-1597.6</f>
        <v>22.800000000000182</v>
      </c>
      <c r="G175" s="31">
        <f t="shared" si="34"/>
        <v>7.5963076624388677</v>
      </c>
      <c r="H175" s="6"/>
    </row>
    <row r="176" spans="1:8" x14ac:dyDescent="0.2">
      <c r="A176" s="5" t="s">
        <v>48</v>
      </c>
      <c r="B176" s="20">
        <v>3</v>
      </c>
      <c r="C176" s="20">
        <v>4</v>
      </c>
      <c r="D176" s="20">
        <f t="shared" si="35"/>
        <v>3.5</v>
      </c>
      <c r="E176" s="19">
        <v>1</v>
      </c>
      <c r="F176">
        <f>1799.1-1682.9</f>
        <v>116.19999999999982</v>
      </c>
      <c r="G176" s="31">
        <f t="shared" si="34"/>
        <v>3.4788619162959642</v>
      </c>
      <c r="H176" s="6"/>
    </row>
    <row r="177" spans="1:8" x14ac:dyDescent="0.2">
      <c r="A177" s="5"/>
      <c r="G177" s="4"/>
      <c r="H177" s="6"/>
    </row>
    <row r="178" spans="1:8" x14ac:dyDescent="0.2">
      <c r="A178" s="5"/>
      <c r="G178" s="4"/>
      <c r="H178" s="6"/>
    </row>
    <row r="179" spans="1:8" ht="51" x14ac:dyDescent="0.2">
      <c r="A179" s="2" t="s">
        <v>43</v>
      </c>
      <c r="B179" s="48" t="s">
        <v>0</v>
      </c>
      <c r="C179" s="48"/>
      <c r="D179" s="40" t="s">
        <v>1</v>
      </c>
      <c r="E179" s="40" t="s">
        <v>4</v>
      </c>
      <c r="F179" s="40" t="s">
        <v>2</v>
      </c>
      <c r="G179" s="29" t="s">
        <v>3</v>
      </c>
      <c r="H179" s="6"/>
    </row>
    <row r="180" spans="1:8" x14ac:dyDescent="0.2">
      <c r="A180" s="19" t="s">
        <v>19</v>
      </c>
      <c r="B180">
        <v>14</v>
      </c>
      <c r="C180">
        <v>4</v>
      </c>
      <c r="D180">
        <f>AVERAGE(B180:C180)</f>
        <v>9</v>
      </c>
      <c r="E180" s="5">
        <v>1</v>
      </c>
      <c r="F180" s="5">
        <f>1800.3-1751.6</f>
        <v>48.700000000000045</v>
      </c>
      <c r="G180" s="30">
        <f>LOG10(D180*100*E180/F180*1000)</f>
        <v>4.2667135482246898</v>
      </c>
      <c r="H180" s="6"/>
    </row>
    <row r="181" spans="1:8" x14ac:dyDescent="0.2">
      <c r="A181" s="19" t="s">
        <v>20</v>
      </c>
      <c r="B181" s="20">
        <v>28</v>
      </c>
      <c r="C181" s="20">
        <v>46</v>
      </c>
      <c r="D181" s="20">
        <f t="shared" ref="D181:D189" si="36">AVERAGE(B181:C181)</f>
        <v>37</v>
      </c>
      <c r="E181" s="19">
        <v>1000</v>
      </c>
      <c r="F181" s="19">
        <f>1727.2-1595.4</f>
        <v>131.79999999999995</v>
      </c>
      <c r="G181" s="30">
        <f>LOG10(D181*100*E181/F181*1000)</f>
        <v>7.4482863138090041</v>
      </c>
      <c r="H181" s="6"/>
    </row>
    <row r="182" spans="1:8" x14ac:dyDescent="0.2">
      <c r="A182" s="19" t="s">
        <v>21</v>
      </c>
      <c r="B182" s="20">
        <v>14</v>
      </c>
      <c r="C182" s="20">
        <v>11</v>
      </c>
      <c r="D182" s="20">
        <f t="shared" si="36"/>
        <v>12.5</v>
      </c>
      <c r="E182" s="19">
        <v>1000</v>
      </c>
      <c r="F182" s="19">
        <f>1805.4-1766.9</f>
        <v>38.5</v>
      </c>
      <c r="G182" s="30">
        <f t="shared" ref="G182:G189" si="37">LOG10(D182*100*E182/F182*1000)</f>
        <v>7.5114492834995561</v>
      </c>
      <c r="H182" s="6"/>
    </row>
    <row r="183" spans="1:8" x14ac:dyDescent="0.2">
      <c r="A183" s="19" t="s">
        <v>22</v>
      </c>
      <c r="B183" s="20">
        <v>16</v>
      </c>
      <c r="C183" s="20">
        <v>20</v>
      </c>
      <c r="D183" s="20">
        <f t="shared" si="36"/>
        <v>18</v>
      </c>
      <c r="E183" s="19">
        <v>1000</v>
      </c>
      <c r="F183" s="19">
        <f>1746.9-1656.7</f>
        <v>90.200000000000045</v>
      </c>
      <c r="G183" s="30">
        <f t="shared" si="37"/>
        <v>7.3000659675613644</v>
      </c>
      <c r="H183" s="6"/>
    </row>
    <row r="184" spans="1:8" ht="17" x14ac:dyDescent="0.2">
      <c r="A184" s="38" t="s">
        <v>23</v>
      </c>
      <c r="B184" s="22">
        <v>5</v>
      </c>
      <c r="C184" s="22">
        <v>5</v>
      </c>
      <c r="D184" s="20">
        <f t="shared" si="36"/>
        <v>5</v>
      </c>
      <c r="E184" s="38">
        <v>1000</v>
      </c>
      <c r="F184" s="38">
        <f>1916.1-1777.9</f>
        <v>138.19999999999982</v>
      </c>
      <c r="G184" s="30">
        <f t="shared" si="37"/>
        <v>6.5584619612978399</v>
      </c>
      <c r="H184" s="6"/>
    </row>
    <row r="185" spans="1:8" x14ac:dyDescent="0.2">
      <c r="A185" s="19" t="s">
        <v>18</v>
      </c>
      <c r="B185" s="20">
        <v>23</v>
      </c>
      <c r="C185" s="20">
        <v>21</v>
      </c>
      <c r="D185" s="20">
        <f t="shared" si="36"/>
        <v>22</v>
      </c>
      <c r="E185" s="19">
        <v>100</v>
      </c>
      <c r="F185" s="19">
        <f>1683.6-1665</f>
        <v>18.599999999999909</v>
      </c>
      <c r="G185" s="30">
        <f t="shared" si="37"/>
        <v>7.0729097366042923</v>
      </c>
      <c r="H185" s="6"/>
    </row>
    <row r="186" spans="1:8" x14ac:dyDescent="0.2">
      <c r="A186" s="19" t="s">
        <v>15</v>
      </c>
      <c r="B186" s="20">
        <v>20</v>
      </c>
      <c r="C186" s="20">
        <v>24</v>
      </c>
      <c r="D186" s="20">
        <f t="shared" si="36"/>
        <v>22</v>
      </c>
      <c r="E186" s="19">
        <v>100</v>
      </c>
      <c r="F186" s="19">
        <f>1821.7-1649.2</f>
        <v>172.5</v>
      </c>
      <c r="G186" s="30">
        <f t="shared" si="37"/>
        <v>6.1056335814129135</v>
      </c>
      <c r="H186" s="6"/>
    </row>
    <row r="187" spans="1:8" x14ac:dyDescent="0.2">
      <c r="A187" s="19" t="s">
        <v>26</v>
      </c>
      <c r="B187" s="20">
        <v>12</v>
      </c>
      <c r="C187" s="20">
        <v>12</v>
      </c>
      <c r="D187" s="20">
        <f t="shared" si="36"/>
        <v>12</v>
      </c>
      <c r="E187" s="19">
        <v>1000</v>
      </c>
      <c r="F187" s="19">
        <f>1953.8-1781.8</f>
        <v>172</v>
      </c>
      <c r="G187" s="30">
        <f t="shared" si="37"/>
        <v>6.8436527991400755</v>
      </c>
      <c r="H187" s="6"/>
    </row>
    <row r="188" spans="1:8" x14ac:dyDescent="0.2">
      <c r="A188" s="19" t="s">
        <v>27</v>
      </c>
      <c r="B188" s="20">
        <v>18</v>
      </c>
      <c r="C188" s="20">
        <v>24</v>
      </c>
      <c r="D188" s="20">
        <f t="shared" si="36"/>
        <v>21</v>
      </c>
      <c r="E188" s="19">
        <v>10</v>
      </c>
      <c r="F188" s="5">
        <f>1803.7-1643.9</f>
        <v>159.79999999999995</v>
      </c>
      <c r="G188" s="30">
        <f t="shared" si="37"/>
        <v>5.1186425197559471</v>
      </c>
      <c r="H188" s="6"/>
    </row>
    <row r="189" spans="1:8" x14ac:dyDescent="0.2">
      <c r="A189" s="19" t="s">
        <v>48</v>
      </c>
      <c r="B189" s="20">
        <v>16</v>
      </c>
      <c r="C189" s="20">
        <v>10</v>
      </c>
      <c r="D189" s="20">
        <f t="shared" si="36"/>
        <v>13</v>
      </c>
      <c r="E189" s="19">
        <v>10</v>
      </c>
      <c r="F189" s="5">
        <f>1925.7-1714.3</f>
        <v>211.40000000000009</v>
      </c>
      <c r="G189" s="30">
        <f t="shared" si="37"/>
        <v>4.7888383693354291</v>
      </c>
      <c r="H189" s="6"/>
    </row>
    <row r="190" spans="1:8" x14ac:dyDescent="0.2">
      <c r="A190" s="19"/>
      <c r="B190" s="20"/>
      <c r="C190" s="20"/>
      <c r="D190" s="20"/>
      <c r="E190" s="19"/>
      <c r="F190" s="5"/>
      <c r="G190" s="30"/>
      <c r="H190" s="6"/>
    </row>
    <row r="191" spans="1:8" x14ac:dyDescent="0.2">
      <c r="A191" s="38"/>
      <c r="B191" s="48"/>
      <c r="C191" s="48"/>
      <c r="D191" s="37"/>
      <c r="E191" s="37"/>
      <c r="F191" s="37"/>
      <c r="G191" s="30"/>
      <c r="H191" s="6"/>
    </row>
    <row r="192" spans="1:8" ht="51" x14ac:dyDescent="0.2">
      <c r="A192" s="2" t="s">
        <v>44</v>
      </c>
      <c r="B192" s="48" t="s">
        <v>0</v>
      </c>
      <c r="C192" s="48"/>
      <c r="D192" s="37" t="s">
        <v>1</v>
      </c>
      <c r="E192" s="37" t="s">
        <v>4</v>
      </c>
      <c r="F192" s="37" t="s">
        <v>2</v>
      </c>
      <c r="G192" s="29" t="s">
        <v>3</v>
      </c>
      <c r="H192" s="4"/>
    </row>
    <row r="193" spans="1:8" x14ac:dyDescent="0.2">
      <c r="A193" s="19" t="s">
        <v>19</v>
      </c>
      <c r="B193">
        <v>25</v>
      </c>
      <c r="C193">
        <v>23</v>
      </c>
      <c r="D193">
        <f>AVERAGE(B193:C193)</f>
        <v>24</v>
      </c>
      <c r="E193" s="5">
        <v>10</v>
      </c>
      <c r="F193" s="5">
        <f>1794.4-1750.8</f>
        <v>43.600000000000136</v>
      </c>
      <c r="G193" s="30">
        <f>LOG10(D193*100*E193/F193*1000)</f>
        <v>5.7407247524430183</v>
      </c>
      <c r="H193" s="4"/>
    </row>
    <row r="194" spans="1:8" x14ac:dyDescent="0.2">
      <c r="A194" s="19" t="s">
        <v>20</v>
      </c>
      <c r="B194" s="20">
        <v>11</v>
      </c>
      <c r="C194" s="20">
        <v>8</v>
      </c>
      <c r="D194" s="20">
        <f t="shared" ref="D194:D202" si="38">AVERAGE(B194:C194)</f>
        <v>9.5</v>
      </c>
      <c r="E194" s="19">
        <v>100</v>
      </c>
      <c r="F194" s="19">
        <f>1710.2-1664.7</f>
        <v>45.5</v>
      </c>
      <c r="G194" s="30">
        <f>LOG10(D194*100*E194/F194*1000)</f>
        <v>6.319712208631735</v>
      </c>
      <c r="H194" s="4"/>
    </row>
    <row r="195" spans="1:8" x14ac:dyDescent="0.2">
      <c r="A195" s="19" t="s">
        <v>25</v>
      </c>
      <c r="B195" s="20">
        <v>5</v>
      </c>
      <c r="C195" s="20">
        <v>5</v>
      </c>
      <c r="D195" s="20">
        <f t="shared" si="38"/>
        <v>5</v>
      </c>
      <c r="E195" s="19">
        <v>100</v>
      </c>
      <c r="F195" s="19">
        <f>1764.1-1710.7</f>
        <v>53.399999999999864</v>
      </c>
      <c r="G195" s="30">
        <f t="shared" ref="G195:G202" si="39">LOG10(D195*100*E195/F195*1000)</f>
        <v>5.9714287473074634</v>
      </c>
    </row>
    <row r="196" spans="1:8" x14ac:dyDescent="0.2">
      <c r="A196" s="19" t="s">
        <v>22</v>
      </c>
      <c r="B196" s="20">
        <v>29</v>
      </c>
      <c r="C196" s="20">
        <v>30</v>
      </c>
      <c r="D196" s="20">
        <f t="shared" si="38"/>
        <v>29.5</v>
      </c>
      <c r="E196" s="19">
        <v>10</v>
      </c>
      <c r="F196" s="19">
        <f>1799.5-1710.5</f>
        <v>89</v>
      </c>
      <c r="G196" s="30">
        <f t="shared" si="39"/>
        <v>5.5204320093332502</v>
      </c>
      <c r="H196" s="7"/>
    </row>
    <row r="197" spans="1:8" ht="17" x14ac:dyDescent="0.2">
      <c r="A197" s="38" t="s">
        <v>23</v>
      </c>
      <c r="B197" s="22">
        <v>9</v>
      </c>
      <c r="C197" s="22">
        <v>12</v>
      </c>
      <c r="D197" s="20">
        <f t="shared" si="38"/>
        <v>10.5</v>
      </c>
      <c r="E197" s="38">
        <v>1000</v>
      </c>
      <c r="F197" s="38">
        <f>1827.6-1750.8</f>
        <v>76.799999999999955</v>
      </c>
      <c r="G197" s="30">
        <f t="shared" si="39"/>
        <v>7.1358280790384265</v>
      </c>
      <c r="H197" s="35"/>
    </row>
    <row r="198" spans="1:8" x14ac:dyDescent="0.2">
      <c r="A198" s="19" t="s">
        <v>18</v>
      </c>
      <c r="B198" s="20">
        <v>9</v>
      </c>
      <c r="C198" s="20">
        <v>5</v>
      </c>
      <c r="D198" s="20">
        <f t="shared" si="38"/>
        <v>7</v>
      </c>
      <c r="E198" s="19">
        <v>1000</v>
      </c>
      <c r="F198" s="19">
        <f>1774.4-1685</f>
        <v>89.400000000000091</v>
      </c>
      <c r="G198" s="30">
        <f t="shared" si="39"/>
        <v>6.893760521218339</v>
      </c>
      <c r="H198" s="35"/>
    </row>
    <row r="199" spans="1:8" x14ac:dyDescent="0.2">
      <c r="A199" s="19" t="s">
        <v>15</v>
      </c>
      <c r="B199" s="20">
        <v>6</v>
      </c>
      <c r="C199" s="20">
        <v>6</v>
      </c>
      <c r="D199" s="20">
        <f t="shared" si="38"/>
        <v>6</v>
      </c>
      <c r="E199" s="19">
        <v>100</v>
      </c>
      <c r="F199" s="19">
        <f>1838.7-1775</f>
        <v>63.700000000000045</v>
      </c>
      <c r="G199" s="30">
        <f t="shared" si="39"/>
        <v>5.9740118180482931</v>
      </c>
      <c r="H199" s="6"/>
    </row>
    <row r="200" spans="1:8" x14ac:dyDescent="0.2">
      <c r="A200" s="19" t="s">
        <v>26</v>
      </c>
      <c r="B200" s="23">
        <v>17</v>
      </c>
      <c r="C200" s="20">
        <v>16</v>
      </c>
      <c r="D200" s="20">
        <f t="shared" si="38"/>
        <v>16.5</v>
      </c>
      <c r="E200" s="19">
        <v>10</v>
      </c>
      <c r="F200" s="19">
        <f>1782-1667.2</f>
        <v>114.79999999999995</v>
      </c>
      <c r="G200" s="30">
        <f t="shared" si="39"/>
        <v>5.1575420561519518</v>
      </c>
      <c r="H200" s="6"/>
    </row>
    <row r="201" spans="1:8" ht="17" x14ac:dyDescent="0.2">
      <c r="A201" s="38" t="s">
        <v>27</v>
      </c>
      <c r="B201" s="20">
        <v>12</v>
      </c>
      <c r="C201" s="23">
        <v>14</v>
      </c>
      <c r="D201" s="20">
        <f t="shared" si="38"/>
        <v>13</v>
      </c>
      <c r="E201" s="37">
        <v>1</v>
      </c>
      <c r="F201" s="37">
        <f>1845-1679.5</f>
        <v>165.5</v>
      </c>
      <c r="G201" s="30">
        <f t="shared" si="39"/>
        <v>3.8951453541950993</v>
      </c>
      <c r="H201" s="6"/>
    </row>
    <row r="202" spans="1:8" x14ac:dyDescent="0.2">
      <c r="A202" s="19" t="s">
        <v>48</v>
      </c>
      <c r="B202" s="20">
        <v>9</v>
      </c>
      <c r="C202" s="20">
        <v>7</v>
      </c>
      <c r="D202" s="20">
        <f t="shared" si="38"/>
        <v>8</v>
      </c>
      <c r="E202" s="5">
        <v>1</v>
      </c>
      <c r="F202" s="5">
        <f>1927.4-1677.7</f>
        <v>249.70000000000005</v>
      </c>
      <c r="G202" s="30">
        <f t="shared" si="39"/>
        <v>3.5056714446405959</v>
      </c>
      <c r="H202" s="6"/>
    </row>
    <row r="203" spans="1:8" ht="51" x14ac:dyDescent="0.2">
      <c r="A203" s="2" t="s">
        <v>45</v>
      </c>
      <c r="B203" s="48" t="s">
        <v>0</v>
      </c>
      <c r="C203" s="48"/>
      <c r="D203" s="37" t="s">
        <v>1</v>
      </c>
      <c r="E203" s="37" t="s">
        <v>4</v>
      </c>
      <c r="F203" s="37" t="s">
        <v>2</v>
      </c>
      <c r="G203" s="29" t="s">
        <v>3</v>
      </c>
      <c r="H203" s="6"/>
    </row>
    <row r="204" spans="1:8" x14ac:dyDescent="0.2">
      <c r="A204" s="19" t="s">
        <v>19</v>
      </c>
      <c r="B204">
        <v>31</v>
      </c>
      <c r="C204">
        <v>27</v>
      </c>
      <c r="D204">
        <f>AVERAGE(B204:C204)</f>
        <v>29</v>
      </c>
      <c r="E204" s="5">
        <v>1000</v>
      </c>
      <c r="F204" s="5">
        <f>1727.1-1652.2</f>
        <v>74.899999999999864</v>
      </c>
      <c r="G204" s="30">
        <f>LOG10(D204*100*E204/F204*1000)</f>
        <v>7.5879161801994908</v>
      </c>
      <c r="H204" s="6"/>
    </row>
    <row r="205" spans="1:8" x14ac:dyDescent="0.2">
      <c r="A205" s="19" t="s">
        <v>20</v>
      </c>
      <c r="B205" s="20">
        <v>4</v>
      </c>
      <c r="C205" s="20">
        <v>8</v>
      </c>
      <c r="D205" s="20">
        <f t="shared" ref="D205:D213" si="40">AVERAGE(B205:C205)</f>
        <v>6</v>
      </c>
      <c r="E205" s="19">
        <v>10000</v>
      </c>
      <c r="F205" s="19">
        <f>1834.7-1793.4</f>
        <v>41.299999999999955</v>
      </c>
      <c r="G205" s="30">
        <f t="shared" ref="G205:G213" si="41">LOG10(D205*100*E205/F205*1000)</f>
        <v>8.1622011987272423</v>
      </c>
      <c r="H205" s="6"/>
    </row>
    <row r="206" spans="1:8" x14ac:dyDescent="0.2">
      <c r="A206" s="19" t="s">
        <v>21</v>
      </c>
      <c r="B206" s="20">
        <v>42</v>
      </c>
      <c r="C206" s="20">
        <v>33</v>
      </c>
      <c r="D206" s="20">
        <f t="shared" si="40"/>
        <v>37.5</v>
      </c>
      <c r="E206" s="19">
        <v>1000</v>
      </c>
      <c r="F206" s="19">
        <f>1749.3-1738.8</f>
        <v>10.5</v>
      </c>
      <c r="G206" s="30">
        <f t="shared" si="41"/>
        <v>8.5528419686577806</v>
      </c>
      <c r="H206" s="6"/>
    </row>
    <row r="207" spans="1:8" x14ac:dyDescent="0.2">
      <c r="A207" s="19" t="s">
        <v>22</v>
      </c>
      <c r="B207" s="20">
        <v>20</v>
      </c>
      <c r="C207" s="20">
        <v>21</v>
      </c>
      <c r="D207" s="20">
        <f t="shared" si="40"/>
        <v>20.5</v>
      </c>
      <c r="E207" s="19">
        <v>1000</v>
      </c>
      <c r="F207" s="19">
        <f>1658.3-1635.5</f>
        <v>22.799999999999955</v>
      </c>
      <c r="G207" s="30">
        <f t="shared" si="41"/>
        <v>7.9538190140553011</v>
      </c>
      <c r="H207" s="6"/>
    </row>
    <row r="208" spans="1:8" ht="17" x14ac:dyDescent="0.2">
      <c r="A208" s="38" t="s">
        <v>23</v>
      </c>
      <c r="B208" s="22">
        <v>5</v>
      </c>
      <c r="C208" s="22">
        <v>7</v>
      </c>
      <c r="D208" s="20">
        <f t="shared" si="40"/>
        <v>6</v>
      </c>
      <c r="E208" s="38">
        <v>10000</v>
      </c>
      <c r="F208" s="38">
        <f>1884.2-1843.4</f>
        <v>40.799999999999955</v>
      </c>
      <c r="G208" s="30">
        <f t="shared" si="41"/>
        <v>8.1674910872937634</v>
      </c>
      <c r="H208" s="6"/>
    </row>
    <row r="209" spans="1:8" x14ac:dyDescent="0.2">
      <c r="A209" s="19" t="s">
        <v>18</v>
      </c>
      <c r="B209" s="20">
        <v>30</v>
      </c>
      <c r="C209" s="20">
        <v>38</v>
      </c>
      <c r="D209" s="20">
        <f t="shared" si="40"/>
        <v>34</v>
      </c>
      <c r="E209" s="19">
        <v>1000</v>
      </c>
      <c r="F209" s="19">
        <f>1638.9-1610</f>
        <v>28.900000000000091</v>
      </c>
      <c r="G209" s="30">
        <f t="shared" si="41"/>
        <v>8.0705810742857054</v>
      </c>
      <c r="H209" s="6"/>
    </row>
    <row r="210" spans="1:8" x14ac:dyDescent="0.2">
      <c r="A210" s="19" t="s">
        <v>15</v>
      </c>
      <c r="B210" s="20">
        <v>4</v>
      </c>
      <c r="C210" s="20">
        <v>7</v>
      </c>
      <c r="D210" s="20">
        <f t="shared" si="40"/>
        <v>5.5</v>
      </c>
      <c r="E210" s="19">
        <v>1000</v>
      </c>
      <c r="F210" s="19">
        <f>1708.6-1683.8</f>
        <v>24.799999999999955</v>
      </c>
      <c r="G210" s="30">
        <f t="shared" si="41"/>
        <v>7.3459110086680282</v>
      </c>
      <c r="H210" s="6"/>
    </row>
    <row r="211" spans="1:8" x14ac:dyDescent="0.2">
      <c r="A211" s="19" t="s">
        <v>26</v>
      </c>
      <c r="B211" s="20">
        <v>13</v>
      </c>
      <c r="C211" s="20">
        <v>16</v>
      </c>
      <c r="D211" s="20">
        <f t="shared" si="40"/>
        <v>14.5</v>
      </c>
      <c r="E211" s="19">
        <v>10</v>
      </c>
      <c r="F211" s="19">
        <f>1817.8-1785.6</f>
        <v>32.200000000000045</v>
      </c>
      <c r="G211" s="30">
        <f t="shared" si="41"/>
        <v>5.6535121305391431</v>
      </c>
      <c r="H211" s="6"/>
    </row>
    <row r="212" spans="1:8" x14ac:dyDescent="0.2">
      <c r="A212" s="19" t="s">
        <v>27</v>
      </c>
      <c r="B212" s="20">
        <v>3</v>
      </c>
      <c r="C212" s="20">
        <v>5</v>
      </c>
      <c r="D212" s="20">
        <f t="shared" si="40"/>
        <v>4</v>
      </c>
      <c r="E212" s="19">
        <v>10</v>
      </c>
      <c r="F212" s="5">
        <f>1930.3-1871.3</f>
        <v>59</v>
      </c>
      <c r="G212" s="30">
        <f t="shared" si="41"/>
        <v>4.8312079796858178</v>
      </c>
      <c r="H212" s="6"/>
    </row>
    <row r="213" spans="1:8" x14ac:dyDescent="0.2">
      <c r="A213" s="19" t="s">
        <v>48</v>
      </c>
      <c r="B213" s="20">
        <v>21</v>
      </c>
      <c r="C213" s="20">
        <v>31</v>
      </c>
      <c r="D213" s="20">
        <f t="shared" si="40"/>
        <v>26</v>
      </c>
      <c r="E213" s="5">
        <v>1</v>
      </c>
      <c r="F213" s="5">
        <f>1807.8-1652.6</f>
        <v>155.20000000000005</v>
      </c>
      <c r="G213" s="30">
        <f t="shared" si="41"/>
        <v>4.224081631048648</v>
      </c>
      <c r="H213" s="6"/>
    </row>
    <row r="214" spans="1:8" ht="51" x14ac:dyDescent="0.2">
      <c r="A214" s="2" t="s">
        <v>46</v>
      </c>
      <c r="B214" s="48" t="s">
        <v>0</v>
      </c>
      <c r="C214" s="48"/>
      <c r="D214" s="37" t="s">
        <v>1</v>
      </c>
      <c r="E214" s="37" t="s">
        <v>4</v>
      </c>
      <c r="F214" s="37" t="s">
        <v>2</v>
      </c>
      <c r="G214" s="29" t="s">
        <v>3</v>
      </c>
      <c r="H214" s="6"/>
    </row>
    <row r="215" spans="1:8" x14ac:dyDescent="0.2">
      <c r="A215" s="19" t="s">
        <v>19</v>
      </c>
      <c r="B215">
        <v>24</v>
      </c>
      <c r="C215">
        <v>29</v>
      </c>
      <c r="D215">
        <f>AVERAGE(B215:C215)</f>
        <v>26.5</v>
      </c>
      <c r="E215" s="5">
        <v>100</v>
      </c>
      <c r="F215" s="5">
        <f>1844.4-1712.6</f>
        <v>131.80000000000018</v>
      </c>
      <c r="G215" s="30">
        <f>LOG10(D215*100*E215/F215*1000)</f>
        <v>6.3033304636788161</v>
      </c>
      <c r="H215" s="6"/>
    </row>
    <row r="216" spans="1:8" x14ac:dyDescent="0.2">
      <c r="A216" s="19" t="s">
        <v>20</v>
      </c>
      <c r="B216" s="20">
        <v>5</v>
      </c>
      <c r="C216" s="20">
        <v>8</v>
      </c>
      <c r="D216" s="20">
        <f t="shared" ref="D216:D224" si="42">AVERAGE(B216:C216)</f>
        <v>6.5</v>
      </c>
      <c r="E216" s="19">
        <v>10000</v>
      </c>
      <c r="F216" s="19">
        <f>1916.7-1758.7</f>
        <v>158</v>
      </c>
      <c r="G216" s="30">
        <f t="shared" ref="G216:G224" si="43">LOG10(D216*100*E216/F216*1000)</f>
        <v>7.6142562696884326</v>
      </c>
      <c r="H216" s="6"/>
    </row>
    <row r="217" spans="1:8" x14ac:dyDescent="0.2">
      <c r="A217" s="19" t="s">
        <v>21</v>
      </c>
      <c r="B217" s="20">
        <v>41</v>
      </c>
      <c r="C217" s="20">
        <v>35</v>
      </c>
      <c r="D217" s="20">
        <f t="shared" si="42"/>
        <v>38</v>
      </c>
      <c r="E217" s="19">
        <v>1000</v>
      </c>
      <c r="F217" s="19">
        <f>1790.7-1722.8</f>
        <v>67.900000000000091</v>
      </c>
      <c r="G217" s="30">
        <f t="shared" si="43"/>
        <v>7.747913822336308</v>
      </c>
      <c r="H217" s="6"/>
    </row>
    <row r="218" spans="1:8" ht="20" customHeight="1" x14ac:dyDescent="0.2">
      <c r="A218" s="19" t="s">
        <v>22</v>
      </c>
      <c r="B218" s="20">
        <v>65</v>
      </c>
      <c r="C218" s="20">
        <v>47</v>
      </c>
      <c r="D218" s="20">
        <f t="shared" si="42"/>
        <v>56</v>
      </c>
      <c r="E218" s="19">
        <v>100</v>
      </c>
      <c r="F218" s="19">
        <f>1919.5-1740.1</f>
        <v>179.40000000000009</v>
      </c>
      <c r="G218" s="30">
        <f t="shared" si="43"/>
        <v>6.4943655882981268</v>
      </c>
      <c r="H218" s="6"/>
    </row>
    <row r="219" spans="1:8" ht="17" x14ac:dyDescent="0.2">
      <c r="A219" s="38" t="s">
        <v>23</v>
      </c>
      <c r="B219" s="22">
        <v>9</v>
      </c>
      <c r="C219" s="22">
        <v>8</v>
      </c>
      <c r="D219" s="20">
        <f t="shared" si="42"/>
        <v>8.5</v>
      </c>
      <c r="E219" s="38">
        <v>1000</v>
      </c>
      <c r="F219" s="38">
        <f>1798.1-1692.6</f>
        <v>105.5</v>
      </c>
      <c r="G219" s="30">
        <f t="shared" si="43"/>
        <v>6.906166466080581</v>
      </c>
      <c r="H219" s="4"/>
    </row>
    <row r="220" spans="1:8" x14ac:dyDescent="0.2">
      <c r="A220" s="19" t="s">
        <v>18</v>
      </c>
      <c r="B220" s="20">
        <v>12</v>
      </c>
      <c r="C220" s="20">
        <v>19</v>
      </c>
      <c r="D220" s="20">
        <f t="shared" si="42"/>
        <v>15.5</v>
      </c>
      <c r="E220" s="19">
        <v>1000</v>
      </c>
      <c r="F220" s="19">
        <f>1716.1-1588.8</f>
        <v>127.29999999999995</v>
      </c>
      <c r="G220" s="30">
        <f t="shared" si="43"/>
        <v>7.0855032945166361</v>
      </c>
      <c r="H220" s="4"/>
    </row>
    <row r="221" spans="1:8" x14ac:dyDescent="0.2">
      <c r="A221" s="19" t="s">
        <v>15</v>
      </c>
      <c r="B221" s="20">
        <v>3</v>
      </c>
      <c r="C221" s="20">
        <v>7</v>
      </c>
      <c r="D221" s="20">
        <f t="shared" si="42"/>
        <v>5</v>
      </c>
      <c r="E221" s="19">
        <v>1000</v>
      </c>
      <c r="F221" s="19">
        <f>1760.2-1557</f>
        <v>203.20000000000005</v>
      </c>
      <c r="G221" s="30">
        <f t="shared" si="43"/>
        <v>6.3910463007241374</v>
      </c>
      <c r="H221" s="4"/>
    </row>
    <row r="222" spans="1:8" x14ac:dyDescent="0.2">
      <c r="A222" s="19" t="s">
        <v>26</v>
      </c>
      <c r="B222" s="20">
        <v>47</v>
      </c>
      <c r="C222" s="20">
        <v>32</v>
      </c>
      <c r="D222" s="20">
        <f t="shared" si="42"/>
        <v>39.5</v>
      </c>
      <c r="E222" s="19">
        <v>10</v>
      </c>
      <c r="F222" s="19">
        <f>1753.5-1664.6</f>
        <v>88.900000000000091</v>
      </c>
      <c r="G222" s="30">
        <f t="shared" si="43"/>
        <v>5.6476953346562464</v>
      </c>
    </row>
    <row r="223" spans="1:8" x14ac:dyDescent="0.2">
      <c r="A223" s="19" t="s">
        <v>27</v>
      </c>
      <c r="B223" s="20">
        <v>8</v>
      </c>
      <c r="C223" s="20">
        <v>10</v>
      </c>
      <c r="D223" s="20">
        <f t="shared" si="42"/>
        <v>9</v>
      </c>
      <c r="E223" s="19">
        <v>1</v>
      </c>
      <c r="F223" s="5">
        <f>1831.5-1742.1</f>
        <v>89.400000000000091</v>
      </c>
      <c r="G223" s="30">
        <f t="shared" si="43"/>
        <v>4.0029049906434064</v>
      </c>
      <c r="H223" s="7"/>
    </row>
    <row r="224" spans="1:8" x14ac:dyDescent="0.2">
      <c r="A224" s="19" t="s">
        <v>48</v>
      </c>
      <c r="B224" s="20">
        <v>18</v>
      </c>
      <c r="C224" s="20">
        <v>31</v>
      </c>
      <c r="D224" s="20">
        <f t="shared" si="42"/>
        <v>24.5</v>
      </c>
      <c r="E224" s="19">
        <v>1</v>
      </c>
      <c r="F224" s="5">
        <f>1828.9-1659.2</f>
        <v>169.70000000000005</v>
      </c>
      <c r="G224" s="30">
        <f t="shared" si="43"/>
        <v>4.1594842420468563</v>
      </c>
      <c r="H224" s="4"/>
    </row>
    <row r="225" spans="1:8" x14ac:dyDescent="0.2">
      <c r="A225" s="19"/>
      <c r="B225" s="20"/>
      <c r="C225" s="20"/>
      <c r="D225" s="20"/>
      <c r="E225" s="19"/>
      <c r="F225" s="5"/>
      <c r="G225" s="31"/>
      <c r="H225" s="4"/>
    </row>
    <row r="226" spans="1:8" x14ac:dyDescent="0.2">
      <c r="A226" s="19"/>
      <c r="E226" s="5"/>
      <c r="F226" s="5"/>
      <c r="G226" s="31"/>
      <c r="H226" s="4"/>
    </row>
    <row r="227" spans="1:8" ht="51" x14ac:dyDescent="0.2">
      <c r="A227" s="2" t="s">
        <v>47</v>
      </c>
      <c r="B227" s="48" t="s">
        <v>0</v>
      </c>
      <c r="C227" s="48"/>
      <c r="D227" s="37" t="s">
        <v>1</v>
      </c>
      <c r="E227" s="37" t="s">
        <v>4</v>
      </c>
      <c r="F227" s="37" t="s">
        <v>2</v>
      </c>
      <c r="G227" s="29" t="s">
        <v>3</v>
      </c>
      <c r="H227" s="4"/>
    </row>
    <row r="228" spans="1:8" x14ac:dyDescent="0.2">
      <c r="A228" s="19" t="s">
        <v>19</v>
      </c>
      <c r="B228">
        <v>1</v>
      </c>
      <c r="C228">
        <v>0</v>
      </c>
      <c r="D228">
        <f>AVERAGE(B228:C228)</f>
        <v>0.5</v>
      </c>
      <c r="E228" s="5">
        <v>1</v>
      </c>
      <c r="F228" s="5">
        <f>1739.5-1674</f>
        <v>65.5</v>
      </c>
      <c r="G228" s="31">
        <f>LOG10(D228*100*E228/F228*1000)</f>
        <v>2.882728704344236</v>
      </c>
      <c r="H228" s="4"/>
    </row>
    <row r="229" spans="1:8" x14ac:dyDescent="0.2">
      <c r="A229" s="19" t="s">
        <v>20</v>
      </c>
      <c r="B229" s="20">
        <v>52</v>
      </c>
      <c r="C229" s="20">
        <v>58</v>
      </c>
      <c r="D229" s="20">
        <f t="shared" ref="D229:D237" si="44">AVERAGE(B229:C229)</f>
        <v>55</v>
      </c>
      <c r="E229" s="19">
        <v>1</v>
      </c>
      <c r="F229" s="19">
        <f>1953.6-1737.8</f>
        <v>215.79999999999995</v>
      </c>
      <c r="G229" s="31">
        <f t="shared" ref="G229:G237" si="45">LOG10(D229*100*E229/F229*1000)</f>
        <v>4.4063112491473522</v>
      </c>
      <c r="H229" s="4"/>
    </row>
    <row r="230" spans="1:8" x14ac:dyDescent="0.2">
      <c r="A230" s="19" t="s">
        <v>21</v>
      </c>
      <c r="B230" s="20">
        <v>24</v>
      </c>
      <c r="C230" s="20">
        <v>17</v>
      </c>
      <c r="D230" s="20">
        <f t="shared" si="44"/>
        <v>20.5</v>
      </c>
      <c r="E230" s="19">
        <v>100</v>
      </c>
      <c r="F230" s="19">
        <f>1656.8-1595</f>
        <v>61.799999999999955</v>
      </c>
      <c r="G230" s="31">
        <f t="shared" si="45"/>
        <v>6.5207653859669392</v>
      </c>
      <c r="H230" s="4"/>
    </row>
    <row r="231" spans="1:8" x14ac:dyDescent="0.2">
      <c r="A231" s="19" t="s">
        <v>22</v>
      </c>
      <c r="B231" s="20">
        <v>15</v>
      </c>
      <c r="C231" s="20">
        <v>7</v>
      </c>
      <c r="D231" s="20">
        <f t="shared" si="44"/>
        <v>11</v>
      </c>
      <c r="E231" s="19">
        <v>1000</v>
      </c>
      <c r="F231" s="19">
        <f>1707.7-1673.6</f>
        <v>34.100000000000136</v>
      </c>
      <c r="G231" s="31">
        <f t="shared" si="45"/>
        <v>7.5086383061657251</v>
      </c>
      <c r="H231" s="4"/>
    </row>
    <row r="232" spans="1:8" ht="17" x14ac:dyDescent="0.2">
      <c r="A232" s="38" t="s">
        <v>23</v>
      </c>
      <c r="B232" s="22">
        <v>2</v>
      </c>
      <c r="C232" s="22">
        <v>4</v>
      </c>
      <c r="D232" s="20">
        <f t="shared" si="44"/>
        <v>3</v>
      </c>
      <c r="E232" s="38">
        <v>10000</v>
      </c>
      <c r="F232" s="38">
        <f>1675.7-1628.6</f>
        <v>47.100000000000136</v>
      </c>
      <c r="G232" s="31">
        <f t="shared" si="45"/>
        <v>7.8041003475907651</v>
      </c>
      <c r="H232" s="4"/>
    </row>
    <row r="233" spans="1:8" x14ac:dyDescent="0.2">
      <c r="A233" s="19" t="s">
        <v>18</v>
      </c>
      <c r="B233" s="20">
        <v>22</v>
      </c>
      <c r="C233" s="20">
        <v>28</v>
      </c>
      <c r="D233" s="20">
        <f t="shared" si="44"/>
        <v>25</v>
      </c>
      <c r="E233" s="19">
        <v>1000</v>
      </c>
      <c r="F233" s="19">
        <f>1716.4-1628.7</f>
        <v>87.700000000000045</v>
      </c>
      <c r="G233" s="31">
        <f>LOG10(D233*100*E233/F233*1000)</f>
        <v>7.4549404153059973</v>
      </c>
      <c r="H233" s="4"/>
    </row>
    <row r="234" spans="1:8" x14ac:dyDescent="0.2">
      <c r="A234" s="19" t="s">
        <v>15</v>
      </c>
      <c r="B234" s="20">
        <v>4</v>
      </c>
      <c r="C234" s="20">
        <v>5</v>
      </c>
      <c r="D234" s="20">
        <f t="shared" si="44"/>
        <v>4.5</v>
      </c>
      <c r="E234" s="19">
        <v>100000</v>
      </c>
      <c r="F234" s="19">
        <f>1825.8-1628.9</f>
        <v>196.89999999999986</v>
      </c>
      <c r="G234" s="31">
        <f t="shared" si="45"/>
        <v>8.3589667976372262</v>
      </c>
      <c r="H234" s="4"/>
    </row>
    <row r="235" spans="1:8" x14ac:dyDescent="0.2">
      <c r="A235" s="19" t="s">
        <v>26</v>
      </c>
      <c r="B235" s="20">
        <v>23</v>
      </c>
      <c r="C235" s="20">
        <v>22</v>
      </c>
      <c r="D235" s="20">
        <f t="shared" si="44"/>
        <v>22.5</v>
      </c>
      <c r="E235" s="19">
        <v>1000</v>
      </c>
      <c r="F235" s="19">
        <f>1739.6-1599.5</f>
        <v>140.09999999999991</v>
      </c>
      <c r="G235" s="31">
        <f t="shared" si="45"/>
        <v>7.2057443828255883</v>
      </c>
      <c r="H235" s="4"/>
    </row>
    <row r="236" spans="1:8" x14ac:dyDescent="0.2">
      <c r="A236" s="19" t="s">
        <v>27</v>
      </c>
      <c r="B236" s="20">
        <v>11</v>
      </c>
      <c r="C236" s="20">
        <v>17</v>
      </c>
      <c r="D236" s="20">
        <f t="shared" si="44"/>
        <v>14</v>
      </c>
      <c r="E236" s="19">
        <v>10</v>
      </c>
      <c r="F236" s="39">
        <f>1836.1-1700</f>
        <v>136.09999999999991</v>
      </c>
      <c r="G236" s="31">
        <f t="shared" si="45"/>
        <v>5.0122699104749033</v>
      </c>
      <c r="H236" s="4"/>
    </row>
    <row r="237" spans="1:8" x14ac:dyDescent="0.2">
      <c r="A237" s="19" t="s">
        <v>48</v>
      </c>
      <c r="B237" s="20">
        <v>10</v>
      </c>
      <c r="C237" s="20">
        <v>8</v>
      </c>
      <c r="D237" s="20">
        <f t="shared" si="44"/>
        <v>9</v>
      </c>
      <c r="E237" s="19">
        <v>1</v>
      </c>
      <c r="F237" s="39">
        <f>1898.8-1603.4</f>
        <v>295.39999999999986</v>
      </c>
      <c r="G237" s="31">
        <f t="shared" si="45"/>
        <v>3.4838320184633944</v>
      </c>
      <c r="H237" s="4"/>
    </row>
    <row r="238" spans="1:8" x14ac:dyDescent="0.2">
      <c r="A238" s="19"/>
      <c r="B238" s="20"/>
      <c r="C238" s="20"/>
      <c r="D238" s="20"/>
      <c r="E238" s="19"/>
      <c r="F238" s="39"/>
      <c r="G238" s="30"/>
      <c r="H238" s="4"/>
    </row>
    <row r="239" spans="1:8" x14ac:dyDescent="0.2">
      <c r="A239" s="5"/>
      <c r="F239" s="39"/>
      <c r="G239" s="30"/>
      <c r="H239" s="4"/>
    </row>
    <row r="240" spans="1:8" x14ac:dyDescent="0.2">
      <c r="H240" s="4"/>
    </row>
    <row r="241" spans="8:8" x14ac:dyDescent="0.2">
      <c r="H241" s="4"/>
    </row>
    <row r="242" spans="8:8" x14ac:dyDescent="0.2">
      <c r="H242" s="4"/>
    </row>
    <row r="243" spans="8:8" x14ac:dyDescent="0.2">
      <c r="H243" s="4"/>
    </row>
    <row r="244" spans="8:8" x14ac:dyDescent="0.2">
      <c r="H244" s="4"/>
    </row>
    <row r="298" spans="1:7" x14ac:dyDescent="0.2">
      <c r="A298" s="2"/>
      <c r="B298" s="48"/>
      <c r="C298" s="48"/>
      <c r="D298" s="37"/>
      <c r="E298" s="37"/>
      <c r="F298" s="37"/>
      <c r="G298" s="29"/>
    </row>
    <row r="299" spans="1:7" x14ac:dyDescent="0.2">
      <c r="A299" s="19"/>
      <c r="E299" s="5"/>
      <c r="F299" s="5"/>
      <c r="G299" s="30"/>
    </row>
    <row r="300" spans="1:7" x14ac:dyDescent="0.2">
      <c r="A300" s="19"/>
      <c r="B300" s="20"/>
      <c r="C300" s="20"/>
      <c r="D300" s="20"/>
      <c r="E300" s="19"/>
      <c r="F300" s="19"/>
      <c r="G300" s="30"/>
    </row>
    <row r="301" spans="1:7" x14ac:dyDescent="0.2">
      <c r="A301" s="19"/>
      <c r="B301" s="20"/>
      <c r="C301" s="20"/>
      <c r="D301" s="20"/>
      <c r="E301" s="19"/>
      <c r="F301" s="19"/>
      <c r="G301" s="30"/>
    </row>
    <row r="302" spans="1:7" x14ac:dyDescent="0.2">
      <c r="A302" s="19"/>
      <c r="B302" s="20"/>
      <c r="C302" s="20"/>
      <c r="D302" s="20"/>
      <c r="E302" s="19"/>
      <c r="F302" s="19"/>
      <c r="G302" s="30"/>
    </row>
    <row r="303" spans="1:7" x14ac:dyDescent="0.2">
      <c r="A303" s="38"/>
      <c r="B303" s="22"/>
      <c r="C303" s="22"/>
      <c r="D303" s="20"/>
      <c r="E303" s="38"/>
      <c r="F303" s="38"/>
      <c r="G303" s="30"/>
    </row>
    <row r="304" spans="1:7" x14ac:dyDescent="0.2">
      <c r="A304" s="19"/>
      <c r="B304" s="20"/>
      <c r="C304" s="20"/>
      <c r="D304" s="20"/>
      <c r="E304" s="19"/>
      <c r="F304" s="19"/>
      <c r="G304" s="30"/>
    </row>
    <row r="305" spans="1:7" x14ac:dyDescent="0.2">
      <c r="A305" s="19"/>
      <c r="B305" s="20"/>
      <c r="C305" s="20"/>
      <c r="D305" s="20"/>
      <c r="E305" s="19"/>
      <c r="F305" s="19"/>
      <c r="G305" s="30"/>
    </row>
    <row r="306" spans="1:7" x14ac:dyDescent="0.2">
      <c r="A306" s="19"/>
      <c r="B306" s="20"/>
      <c r="C306" s="20"/>
      <c r="D306" s="20"/>
      <c r="E306" s="19"/>
      <c r="F306" s="19"/>
      <c r="G306" s="30"/>
    </row>
    <row r="307" spans="1:7" x14ac:dyDescent="0.2">
      <c r="A307" s="19"/>
      <c r="B307" s="20"/>
      <c r="C307" s="20"/>
      <c r="D307" s="20"/>
      <c r="E307" s="19"/>
      <c r="F307" s="20"/>
      <c r="G307" s="30"/>
    </row>
    <row r="308" spans="1:7" x14ac:dyDescent="0.2">
      <c r="A308" s="38"/>
      <c r="B308" s="49"/>
      <c r="C308" s="49"/>
      <c r="D308" s="38"/>
      <c r="E308" s="38"/>
      <c r="F308" s="38"/>
      <c r="G308" s="32"/>
    </row>
    <row r="309" spans="1:7" x14ac:dyDescent="0.2">
      <c r="A309" s="2"/>
      <c r="B309" s="48"/>
      <c r="C309" s="48"/>
      <c r="D309" s="37"/>
      <c r="E309" s="37"/>
      <c r="F309" s="37"/>
      <c r="G309" s="29"/>
    </row>
    <row r="310" spans="1:7" x14ac:dyDescent="0.2">
      <c r="A310" s="19"/>
      <c r="B310" s="42"/>
      <c r="E310" s="5"/>
      <c r="F310" s="5"/>
      <c r="G310" s="31"/>
    </row>
    <row r="311" spans="1:7" x14ac:dyDescent="0.2">
      <c r="A311" s="19"/>
      <c r="B311" s="42"/>
      <c r="C311" s="20"/>
      <c r="D311" s="20"/>
      <c r="E311" s="19"/>
      <c r="F311" s="19"/>
      <c r="G311" s="30"/>
    </row>
    <row r="312" spans="1:7" x14ac:dyDescent="0.2">
      <c r="A312" s="19"/>
      <c r="B312" s="42"/>
      <c r="C312" s="20"/>
      <c r="D312" s="20"/>
      <c r="E312" s="19"/>
      <c r="F312" s="19"/>
      <c r="G312" s="30"/>
    </row>
    <row r="313" spans="1:7" x14ac:dyDescent="0.2">
      <c r="A313" s="19"/>
      <c r="B313" s="42"/>
      <c r="C313" s="20"/>
      <c r="D313" s="20"/>
      <c r="E313" s="19"/>
      <c r="F313" s="19"/>
      <c r="G313" s="30"/>
    </row>
    <row r="314" spans="1:7" x14ac:dyDescent="0.2">
      <c r="A314" s="38"/>
      <c r="B314" s="22"/>
      <c r="C314" s="22"/>
      <c r="D314" s="20"/>
      <c r="E314" s="38"/>
      <c r="F314" s="38"/>
      <c r="G314" s="30"/>
    </row>
    <row r="315" spans="1:7" x14ac:dyDescent="0.2">
      <c r="A315" s="19"/>
      <c r="B315" s="42"/>
      <c r="C315" s="20"/>
      <c r="D315" s="20"/>
      <c r="E315" s="19"/>
      <c r="F315" s="19"/>
      <c r="G315" s="30"/>
    </row>
    <row r="316" spans="1:7" x14ac:dyDescent="0.2">
      <c r="A316" s="19"/>
      <c r="B316" s="42"/>
      <c r="C316" s="20"/>
      <c r="D316" s="20"/>
      <c r="E316" s="19"/>
      <c r="F316" s="19"/>
      <c r="G316" s="30"/>
    </row>
    <row r="317" spans="1:7" x14ac:dyDescent="0.2">
      <c r="A317" s="19"/>
      <c r="B317" s="42"/>
      <c r="C317" s="20"/>
      <c r="D317" s="20"/>
      <c r="E317" s="19"/>
      <c r="G317" s="30"/>
    </row>
    <row r="318" spans="1:7" x14ac:dyDescent="0.2">
      <c r="A318" s="38"/>
      <c r="B318" s="23"/>
      <c r="C318" s="23"/>
      <c r="D318" s="20"/>
      <c r="E318" s="19"/>
      <c r="F318" s="19"/>
      <c r="G318" s="30"/>
    </row>
    <row r="319" spans="1:7" x14ac:dyDescent="0.2">
      <c r="A319" s="19"/>
      <c r="E319" s="5"/>
      <c r="F319" s="5"/>
      <c r="G319" s="31"/>
    </row>
    <row r="320" spans="1:7" x14ac:dyDescent="0.2">
      <c r="A320" s="2"/>
      <c r="B320" s="48"/>
      <c r="C320" s="48"/>
      <c r="D320" s="37"/>
      <c r="E320" s="37"/>
      <c r="F320" s="37"/>
      <c r="G320" s="29"/>
    </row>
    <row r="321" spans="1:7" x14ac:dyDescent="0.2">
      <c r="A321" s="19"/>
      <c r="E321" s="5"/>
      <c r="F321" s="5"/>
      <c r="G321" s="30"/>
    </row>
    <row r="322" spans="1:7" x14ac:dyDescent="0.2">
      <c r="A322" s="19"/>
      <c r="B322" s="20"/>
      <c r="C322" s="20"/>
      <c r="D322" s="20"/>
      <c r="E322" s="19"/>
      <c r="F322" s="19"/>
      <c r="G322" s="30"/>
    </row>
    <row r="323" spans="1:7" x14ac:dyDescent="0.2">
      <c r="A323" s="19"/>
      <c r="B323" s="20"/>
      <c r="C323" s="20"/>
      <c r="D323" s="20"/>
      <c r="E323" s="19"/>
      <c r="F323" s="19"/>
      <c r="G323" s="30"/>
    </row>
    <row r="324" spans="1:7" x14ac:dyDescent="0.2">
      <c r="A324" s="19"/>
      <c r="B324" s="20"/>
      <c r="C324" s="20"/>
      <c r="D324" s="20"/>
      <c r="E324" s="19"/>
      <c r="F324" s="19"/>
      <c r="G324" s="30"/>
    </row>
    <row r="325" spans="1:7" x14ac:dyDescent="0.2">
      <c r="A325" s="38"/>
      <c r="B325" s="22"/>
      <c r="C325" s="22"/>
      <c r="D325" s="20"/>
      <c r="E325" s="38"/>
      <c r="F325" s="38"/>
      <c r="G325" s="30"/>
    </row>
    <row r="326" spans="1:7" x14ac:dyDescent="0.2">
      <c r="A326" s="19"/>
      <c r="B326" s="20"/>
      <c r="C326" s="20"/>
      <c r="D326" s="20"/>
      <c r="E326" s="19"/>
      <c r="F326" s="19"/>
      <c r="G326" s="30"/>
    </row>
    <row r="327" spans="1:7" x14ac:dyDescent="0.2">
      <c r="A327" s="19"/>
      <c r="B327" s="20"/>
      <c r="C327" s="20"/>
      <c r="D327" s="20"/>
      <c r="E327" s="19"/>
      <c r="F327" s="19"/>
      <c r="G327" s="30"/>
    </row>
    <row r="328" spans="1:7" x14ac:dyDescent="0.2">
      <c r="A328" s="19"/>
      <c r="B328" s="20"/>
      <c r="C328" s="20"/>
      <c r="D328" s="20"/>
      <c r="E328" s="19"/>
      <c r="F328" s="19"/>
      <c r="G328" s="30"/>
    </row>
    <row r="329" spans="1:7" x14ac:dyDescent="0.2">
      <c r="A329" s="19"/>
      <c r="B329" s="20"/>
      <c r="C329" s="20"/>
      <c r="D329" s="20"/>
      <c r="E329" s="19"/>
      <c r="F329" s="5"/>
      <c r="G329" s="30"/>
    </row>
    <row r="330" spans="1:7" x14ac:dyDescent="0.2">
      <c r="A330" s="19"/>
      <c r="E330" s="5"/>
      <c r="F330" s="5"/>
      <c r="G330" s="31"/>
    </row>
    <row r="331" spans="1:7" x14ac:dyDescent="0.2">
      <c r="A331" s="2"/>
      <c r="B331" s="48"/>
      <c r="C331" s="48"/>
      <c r="D331" s="37"/>
      <c r="E331" s="37"/>
      <c r="F331" s="37"/>
      <c r="G331" s="29"/>
    </row>
    <row r="332" spans="1:7" x14ac:dyDescent="0.2">
      <c r="A332" s="19"/>
      <c r="E332" s="5"/>
      <c r="F332" s="5"/>
      <c r="G332" s="30"/>
    </row>
    <row r="333" spans="1:7" x14ac:dyDescent="0.2">
      <c r="A333" s="19"/>
      <c r="B333" s="20"/>
      <c r="C333" s="20"/>
      <c r="D333" s="20"/>
      <c r="E333" s="19"/>
      <c r="F333" s="19"/>
      <c r="G333" s="30"/>
    </row>
    <row r="334" spans="1:7" x14ac:dyDescent="0.2">
      <c r="A334" s="19"/>
      <c r="B334" s="20"/>
      <c r="C334" s="20"/>
      <c r="D334" s="20"/>
      <c r="E334" s="19"/>
      <c r="F334" s="19"/>
      <c r="G334" s="30"/>
    </row>
    <row r="335" spans="1:7" x14ac:dyDescent="0.2">
      <c r="A335" s="19"/>
      <c r="B335" s="20"/>
      <c r="C335" s="20"/>
      <c r="D335" s="20"/>
      <c r="E335" s="19"/>
      <c r="F335" s="19"/>
      <c r="G335" s="30"/>
    </row>
    <row r="336" spans="1:7" x14ac:dyDescent="0.2">
      <c r="A336" s="38"/>
      <c r="B336" s="22"/>
      <c r="C336" s="22"/>
      <c r="D336" s="20"/>
      <c r="E336" s="38"/>
      <c r="F336" s="38"/>
      <c r="G336" s="30"/>
    </row>
    <row r="337" spans="1:7" x14ac:dyDescent="0.2">
      <c r="A337" s="19"/>
      <c r="B337" s="20"/>
      <c r="C337" s="20"/>
      <c r="D337" s="20"/>
      <c r="E337" s="19"/>
      <c r="F337" s="19"/>
      <c r="G337" s="30"/>
    </row>
    <row r="338" spans="1:7" x14ac:dyDescent="0.2">
      <c r="A338" s="19"/>
      <c r="B338" s="20"/>
      <c r="C338" s="20"/>
      <c r="D338" s="20"/>
      <c r="E338" s="19"/>
      <c r="F338" s="19"/>
      <c r="G338" s="30"/>
    </row>
    <row r="339" spans="1:7" x14ac:dyDescent="0.2">
      <c r="A339" s="19"/>
      <c r="B339" s="20"/>
      <c r="C339" s="20"/>
      <c r="D339" s="20"/>
      <c r="E339" s="19"/>
      <c r="F339" s="19"/>
      <c r="G339" s="30"/>
    </row>
    <row r="340" spans="1:7" x14ac:dyDescent="0.2">
      <c r="A340" s="19"/>
      <c r="B340" s="20"/>
      <c r="C340" s="20"/>
      <c r="D340" s="20"/>
      <c r="E340" s="19"/>
      <c r="F340" s="5"/>
      <c r="G340" s="30"/>
    </row>
    <row r="341" spans="1:7" x14ac:dyDescent="0.2">
      <c r="A341" s="19"/>
      <c r="B341" s="20"/>
      <c r="C341" s="20"/>
      <c r="D341" s="20"/>
      <c r="E341" s="19"/>
      <c r="F341" s="5"/>
      <c r="G341" s="30"/>
    </row>
    <row r="342" spans="1:7" x14ac:dyDescent="0.2">
      <c r="A342" s="19"/>
      <c r="B342" s="20"/>
      <c r="C342" s="20"/>
      <c r="D342" s="20"/>
      <c r="E342" s="19"/>
      <c r="F342" s="5"/>
      <c r="G342" s="30"/>
    </row>
    <row r="343" spans="1:7" x14ac:dyDescent="0.2">
      <c r="A343" s="19"/>
      <c r="E343" s="5"/>
      <c r="F343" s="5"/>
      <c r="G343" s="30"/>
    </row>
    <row r="344" spans="1:7" x14ac:dyDescent="0.2">
      <c r="A344" s="2"/>
      <c r="B344" s="48"/>
      <c r="C344" s="48"/>
      <c r="D344" s="37"/>
      <c r="E344" s="37"/>
      <c r="F344" s="37"/>
      <c r="G344" s="29"/>
    </row>
    <row r="345" spans="1:7" x14ac:dyDescent="0.2">
      <c r="A345" s="19"/>
      <c r="B345" s="20"/>
      <c r="E345" s="5"/>
      <c r="F345" s="5"/>
      <c r="G345" s="30"/>
    </row>
    <row r="346" spans="1:7" x14ac:dyDescent="0.2">
      <c r="A346" s="19"/>
      <c r="C346" s="20"/>
      <c r="D346" s="20"/>
      <c r="E346" s="19"/>
      <c r="F346" s="19"/>
      <c r="G346" s="30"/>
    </row>
    <row r="347" spans="1:7" x14ac:dyDescent="0.2">
      <c r="A347" s="19"/>
      <c r="B347" s="20"/>
      <c r="C347" s="20"/>
      <c r="D347" s="20"/>
      <c r="E347" s="19"/>
      <c r="F347" s="19"/>
      <c r="G347" s="30"/>
    </row>
    <row r="348" spans="1:7" x14ac:dyDescent="0.2">
      <c r="A348" s="19"/>
      <c r="B348" s="20"/>
      <c r="C348" s="20"/>
      <c r="D348" s="20"/>
      <c r="E348" s="19"/>
      <c r="F348" s="19"/>
      <c r="G348" s="30"/>
    </row>
    <row r="349" spans="1:7" x14ac:dyDescent="0.2">
      <c r="A349" s="38"/>
      <c r="B349" s="22"/>
      <c r="C349" s="22"/>
      <c r="D349" s="20"/>
      <c r="E349" s="38"/>
      <c r="F349" s="38"/>
      <c r="G349" s="30"/>
    </row>
    <row r="350" spans="1:7" x14ac:dyDescent="0.2">
      <c r="A350" s="19"/>
      <c r="B350" s="20"/>
      <c r="C350" s="20"/>
      <c r="D350" s="20"/>
      <c r="E350" s="19"/>
      <c r="F350" s="19"/>
      <c r="G350" s="30"/>
    </row>
    <row r="351" spans="1:7" x14ac:dyDescent="0.2">
      <c r="A351" s="19"/>
      <c r="B351" s="20"/>
      <c r="C351" s="20"/>
      <c r="D351" s="20"/>
      <c r="E351" s="19"/>
      <c r="F351" s="19"/>
      <c r="G351" s="30"/>
    </row>
    <row r="352" spans="1:7" x14ac:dyDescent="0.2">
      <c r="A352" s="19"/>
      <c r="B352" s="20"/>
      <c r="C352" s="20"/>
      <c r="D352" s="20"/>
      <c r="E352" s="19"/>
      <c r="F352" s="19"/>
      <c r="G352" s="30"/>
    </row>
    <row r="353" spans="1:7" x14ac:dyDescent="0.2">
      <c r="A353" s="19"/>
      <c r="B353" s="20"/>
      <c r="C353" s="20"/>
      <c r="D353" s="20"/>
      <c r="E353" s="19"/>
      <c r="F353" s="5"/>
      <c r="G353" s="30"/>
    </row>
    <row r="354" spans="1:7" x14ac:dyDescent="0.2">
      <c r="A354" s="19"/>
      <c r="B354" s="20"/>
      <c r="C354" s="20"/>
      <c r="D354" s="20"/>
      <c r="E354" s="19"/>
      <c r="F354" s="5"/>
      <c r="G354" s="30"/>
    </row>
  </sheetData>
  <mergeCells count="29">
    <mergeCell ref="B166:C166"/>
    <mergeCell ref="B331:C331"/>
    <mergeCell ref="B344:C344"/>
    <mergeCell ref="B227:C227"/>
    <mergeCell ref="B298:C298"/>
    <mergeCell ref="B308:C308"/>
    <mergeCell ref="B309:C309"/>
    <mergeCell ref="B320:C320"/>
    <mergeCell ref="B191:C191"/>
    <mergeCell ref="B192:C192"/>
    <mergeCell ref="B203:C203"/>
    <mergeCell ref="B214:C214"/>
    <mergeCell ref="B45:C45"/>
    <mergeCell ref="B117:C117"/>
    <mergeCell ref="B68:C68"/>
    <mergeCell ref="B104:C104"/>
    <mergeCell ref="B69:C69"/>
    <mergeCell ref="B80:C80"/>
    <mergeCell ref="B91:C91"/>
    <mergeCell ref="B179:C179"/>
    <mergeCell ref="B118:C118"/>
    <mergeCell ref="B129:C129"/>
    <mergeCell ref="B142:C142"/>
    <mergeCell ref="B155:C155"/>
    <mergeCell ref="B1:C1"/>
    <mergeCell ref="B12:C12"/>
    <mergeCell ref="B23:C23"/>
    <mergeCell ref="B34:C34"/>
    <mergeCell ref="B56:C5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 10^5.6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2021-03-24T20:55:11Z</dcterms:modified>
</cp:coreProperties>
</file>