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1F695DBB-D4EC-AD45-957E-7F556C06C8CE}" xr6:coauthVersionLast="47" xr6:coauthVersionMax="47" xr10:uidLastSave="{00000000-0000-0000-0000-000000000000}"/>
  <bookViews>
    <workbookView xWindow="32860" yWindow="96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67" i="5" l="1"/>
  <c r="Q66" i="5"/>
  <c r="Q65" i="5"/>
  <c r="Q59" i="5"/>
  <c r="Q58" i="5"/>
  <c r="Q54" i="5"/>
  <c r="Q52" i="5"/>
  <c r="Q51" i="5"/>
  <c r="Q47" i="5"/>
  <c r="Q46" i="5"/>
  <c r="Q45" i="5"/>
  <c r="Q44" i="5"/>
  <c r="Q38" i="5"/>
  <c r="Q39" i="5"/>
  <c r="Q40" i="5"/>
  <c r="Q41" i="5"/>
  <c r="Q37" i="5"/>
  <c r="P17" i="4"/>
  <c r="P69" i="5"/>
  <c r="P68" i="5"/>
  <c r="P67" i="5"/>
  <c r="P66" i="5"/>
  <c r="P65" i="5"/>
  <c r="P62" i="5"/>
  <c r="P61" i="5"/>
  <c r="P60" i="5"/>
  <c r="P59" i="5"/>
  <c r="P58" i="5"/>
  <c r="P55" i="5"/>
  <c r="P54" i="5"/>
  <c r="P53" i="5"/>
  <c r="P52" i="5"/>
  <c r="P51" i="5"/>
  <c r="P48" i="5"/>
  <c r="P47" i="5"/>
  <c r="P46" i="5"/>
  <c r="P45" i="5"/>
  <c r="P44" i="5"/>
  <c r="P38" i="5"/>
  <c r="P39" i="5"/>
  <c r="P40" i="5"/>
  <c r="P41" i="5"/>
  <c r="P37" i="5"/>
  <c r="M37" i="5"/>
  <c r="P2" i="5"/>
  <c r="P8" i="4"/>
  <c r="P34" i="5"/>
  <c r="Q34" i="5" s="1"/>
  <c r="Q33" i="5"/>
  <c r="P33" i="5"/>
  <c r="P32" i="5"/>
  <c r="Q32" i="5" s="1"/>
  <c r="P31" i="5"/>
  <c r="Q31" i="5" s="1"/>
  <c r="P30" i="5"/>
  <c r="Q30" i="5" s="1"/>
  <c r="P27" i="5"/>
  <c r="Q27" i="5" s="1"/>
  <c r="P26" i="5"/>
  <c r="Q26" i="5" s="1"/>
  <c r="Q25" i="5"/>
  <c r="P25" i="5"/>
  <c r="P24" i="5"/>
  <c r="Q24" i="5" s="1"/>
  <c r="P23" i="5"/>
  <c r="Q23" i="5" s="1"/>
  <c r="P20" i="5"/>
  <c r="Q20" i="5" s="1"/>
  <c r="Q19" i="5"/>
  <c r="P19" i="5"/>
  <c r="Q18" i="5"/>
  <c r="P18" i="5"/>
  <c r="P17" i="5"/>
  <c r="Q17" i="5" s="1"/>
  <c r="P16" i="5"/>
  <c r="Q16" i="5" s="1"/>
  <c r="P13" i="5"/>
  <c r="Q13" i="5" s="1"/>
  <c r="Q12" i="5"/>
  <c r="P12" i="5"/>
  <c r="Q11" i="5"/>
  <c r="P11" i="5"/>
  <c r="P10" i="5"/>
  <c r="Q10" i="5" s="1"/>
  <c r="P9" i="5"/>
  <c r="Q9" i="5" s="1"/>
  <c r="Q3" i="5"/>
  <c r="Q4" i="5"/>
  <c r="Q5" i="5"/>
  <c r="Q6" i="5"/>
  <c r="Q2" i="5"/>
  <c r="P3" i="5"/>
  <c r="P4" i="5"/>
  <c r="P5" i="5"/>
  <c r="P6" i="5"/>
  <c r="P108" i="5"/>
  <c r="P109" i="5"/>
  <c r="P110" i="5"/>
  <c r="P111" i="5"/>
  <c r="P112" i="5"/>
  <c r="P113" i="5"/>
  <c r="P114" i="5"/>
  <c r="P115" i="5"/>
  <c r="P116" i="5"/>
  <c r="P117" i="5"/>
  <c r="P118" i="5"/>
  <c r="P119" i="5"/>
  <c r="P120" i="5"/>
  <c r="P121" i="5"/>
  <c r="P122" i="5"/>
  <c r="P123" i="5"/>
  <c r="P124" i="5"/>
  <c r="P125" i="5"/>
  <c r="P126" i="5"/>
  <c r="P127" i="5"/>
  <c r="P128" i="5"/>
  <c r="P129" i="5"/>
  <c r="P130" i="5"/>
  <c r="P131" i="5"/>
  <c r="P132" i="5"/>
  <c r="P133" i="5"/>
  <c r="P134" i="5"/>
  <c r="P135" i="5"/>
  <c r="P136" i="5"/>
  <c r="P137" i="5"/>
  <c r="P138" i="5"/>
  <c r="P139" i="5"/>
  <c r="P107" i="5"/>
  <c r="P35" i="4"/>
  <c r="O8" i="4"/>
  <c r="L20" i="5"/>
  <c r="F139" i="5"/>
  <c r="F132" i="5"/>
  <c r="F125" i="5"/>
  <c r="F118" i="5"/>
  <c r="F111" i="5"/>
  <c r="F104" i="5"/>
  <c r="F97" i="5"/>
  <c r="F90" i="5"/>
  <c r="F83" i="5"/>
  <c r="F76" i="5"/>
  <c r="F69" i="5"/>
  <c r="F62" i="5"/>
  <c r="F55" i="5"/>
  <c r="L48" i="5"/>
  <c r="M48" i="5" s="1"/>
  <c r="M39" i="5"/>
  <c r="M47" i="5"/>
  <c r="F48" i="5"/>
  <c r="F41" i="5"/>
  <c r="F34" i="5"/>
  <c r="F27" i="5"/>
  <c r="F20" i="5"/>
  <c r="L13" i="5"/>
  <c r="F13" i="5"/>
  <c r="F6" i="5"/>
  <c r="L131" i="5"/>
  <c r="L122" i="5"/>
  <c r="F96" i="5"/>
  <c r="F138" i="5"/>
  <c r="F137" i="5"/>
  <c r="F136" i="5"/>
  <c r="F135" i="5"/>
  <c r="F131" i="5"/>
  <c r="F130" i="5"/>
  <c r="F129" i="5"/>
  <c r="F128" i="5"/>
  <c r="F124" i="5"/>
  <c r="F123" i="5"/>
  <c r="F122" i="5"/>
  <c r="F121" i="5"/>
  <c r="F117" i="5"/>
  <c r="F116" i="5"/>
  <c r="F115" i="5"/>
  <c r="F114" i="5"/>
  <c r="L139" i="5"/>
  <c r="D139" i="5"/>
  <c r="G139" i="5" s="1"/>
  <c r="L138" i="5"/>
  <c r="D138" i="5"/>
  <c r="G138" i="5" s="1"/>
  <c r="L137" i="5"/>
  <c r="D137" i="5"/>
  <c r="L136" i="5"/>
  <c r="D136" i="5"/>
  <c r="G136" i="5" s="1"/>
  <c r="L135" i="5"/>
  <c r="D135" i="5"/>
  <c r="G135" i="5" s="1"/>
  <c r="L132" i="5"/>
  <c r="D132" i="5"/>
  <c r="G132" i="5" s="1"/>
  <c r="D131" i="5"/>
  <c r="G131" i="5" s="1"/>
  <c r="L130" i="5"/>
  <c r="D130" i="5"/>
  <c r="G130" i="5" s="1"/>
  <c r="L129" i="5"/>
  <c r="D129" i="5"/>
  <c r="G129" i="5" s="1"/>
  <c r="L128" i="5"/>
  <c r="D128" i="5"/>
  <c r="G128" i="5" s="1"/>
  <c r="L125" i="5"/>
  <c r="D125" i="5"/>
  <c r="G125" i="5" s="1"/>
  <c r="L124" i="5"/>
  <c r="D124" i="5"/>
  <c r="G124" i="5" s="1"/>
  <c r="L123" i="5"/>
  <c r="D123" i="5"/>
  <c r="G123" i="5" s="1"/>
  <c r="D122" i="5"/>
  <c r="G122" i="5" s="1"/>
  <c r="L121" i="5"/>
  <c r="D121" i="5"/>
  <c r="G121" i="5" s="1"/>
  <c r="L118" i="5"/>
  <c r="D118" i="5"/>
  <c r="G118" i="5" s="1"/>
  <c r="L117" i="5"/>
  <c r="D117" i="5"/>
  <c r="G117" i="5" s="1"/>
  <c r="L116" i="5"/>
  <c r="D116" i="5"/>
  <c r="G116" i="5" s="1"/>
  <c r="L115" i="5"/>
  <c r="D115" i="5"/>
  <c r="L114" i="5"/>
  <c r="D114" i="5"/>
  <c r="G114" i="5" s="1"/>
  <c r="F110" i="5"/>
  <c r="F109" i="5"/>
  <c r="F108" i="5"/>
  <c r="F107" i="5"/>
  <c r="L111" i="5"/>
  <c r="D111" i="5"/>
  <c r="G111" i="5" s="1"/>
  <c r="L110" i="5"/>
  <c r="D110" i="5"/>
  <c r="G110" i="5" s="1"/>
  <c r="L109" i="5"/>
  <c r="D109" i="5"/>
  <c r="G109" i="5" s="1"/>
  <c r="L108" i="5"/>
  <c r="M108" i="5" s="1"/>
  <c r="N108" i="5" s="1"/>
  <c r="G108" i="5"/>
  <c r="D108" i="5"/>
  <c r="L107" i="5"/>
  <c r="D107" i="5"/>
  <c r="G107" i="5" s="1"/>
  <c r="F103" i="5"/>
  <c r="F102" i="5"/>
  <c r="F101" i="5"/>
  <c r="F100" i="5"/>
  <c r="F95" i="5"/>
  <c r="D95" i="5"/>
  <c r="F94" i="5"/>
  <c r="F93" i="5"/>
  <c r="F89" i="5"/>
  <c r="F88" i="5"/>
  <c r="F87" i="5"/>
  <c r="F86" i="5"/>
  <c r="F82" i="5"/>
  <c r="F81" i="5"/>
  <c r="F80" i="5"/>
  <c r="F79" i="5"/>
  <c r="F75" i="5"/>
  <c r="F74" i="5"/>
  <c r="F73" i="5"/>
  <c r="F72" i="5"/>
  <c r="D104" i="5"/>
  <c r="K104" i="5" s="1"/>
  <c r="L104" i="5" s="1"/>
  <c r="D103" i="5"/>
  <c r="G103" i="5" s="1"/>
  <c r="D102" i="5"/>
  <c r="K102" i="5" s="1"/>
  <c r="L102" i="5" s="1"/>
  <c r="D101" i="5"/>
  <c r="G101" i="5" s="1"/>
  <c r="D100" i="5"/>
  <c r="K100" i="5" s="1"/>
  <c r="L100" i="5" s="1"/>
  <c r="D97" i="5"/>
  <c r="K97" i="5" s="1"/>
  <c r="L97" i="5" s="1"/>
  <c r="D96" i="5"/>
  <c r="K96" i="5" s="1"/>
  <c r="L96" i="5" s="1"/>
  <c r="K95" i="5"/>
  <c r="L95" i="5" s="1"/>
  <c r="D94" i="5"/>
  <c r="K94" i="5" s="1"/>
  <c r="L94" i="5" s="1"/>
  <c r="D93" i="5"/>
  <c r="G93" i="5" s="1"/>
  <c r="D90" i="5"/>
  <c r="K90" i="5" s="1"/>
  <c r="L90" i="5" s="1"/>
  <c r="D89" i="5"/>
  <c r="G89" i="5" s="1"/>
  <c r="D88" i="5"/>
  <c r="K88" i="5" s="1"/>
  <c r="L88" i="5" s="1"/>
  <c r="D87" i="5"/>
  <c r="G87" i="5" s="1"/>
  <c r="D86" i="5"/>
  <c r="K86" i="5" s="1"/>
  <c r="L86" i="5" s="1"/>
  <c r="D83" i="5"/>
  <c r="G83" i="5" s="1"/>
  <c r="D82" i="5"/>
  <c r="K82" i="5" s="1"/>
  <c r="L82" i="5" s="1"/>
  <c r="D81" i="5"/>
  <c r="G81" i="5" s="1"/>
  <c r="D80" i="5"/>
  <c r="K80" i="5" s="1"/>
  <c r="L80" i="5" s="1"/>
  <c r="D79" i="5"/>
  <c r="G79" i="5" s="1"/>
  <c r="K73" i="5"/>
  <c r="L73" i="5" s="1"/>
  <c r="K74" i="5"/>
  <c r="L74" i="5" s="1"/>
  <c r="K75" i="5"/>
  <c r="L75" i="5" s="1"/>
  <c r="D76" i="5"/>
  <c r="G76" i="5" s="1"/>
  <c r="D75" i="5"/>
  <c r="G75" i="5" s="1"/>
  <c r="D74" i="5"/>
  <c r="D73" i="5"/>
  <c r="G73" i="5" s="1"/>
  <c r="D72" i="5"/>
  <c r="G72" i="5" s="1"/>
  <c r="F68" i="5"/>
  <c r="F67" i="5"/>
  <c r="F66" i="5"/>
  <c r="F65" i="5"/>
  <c r="F61" i="5"/>
  <c r="F60" i="5"/>
  <c r="F59" i="5"/>
  <c r="F58" i="5"/>
  <c r="F54" i="5"/>
  <c r="F53" i="5"/>
  <c r="F52" i="5"/>
  <c r="F51" i="5"/>
  <c r="L47" i="5"/>
  <c r="F47" i="5"/>
  <c r="F46" i="5"/>
  <c r="F45" i="5"/>
  <c r="F44" i="5"/>
  <c r="F40" i="5"/>
  <c r="F39" i="5"/>
  <c r="F38" i="5"/>
  <c r="N37" i="5"/>
  <c r="F37" i="5"/>
  <c r="L69" i="5"/>
  <c r="L68" i="5"/>
  <c r="L67" i="5"/>
  <c r="L66" i="5"/>
  <c r="L65" i="5"/>
  <c r="L62" i="5"/>
  <c r="L61" i="5"/>
  <c r="L60" i="5"/>
  <c r="L59" i="5"/>
  <c r="L58" i="5"/>
  <c r="L55" i="5"/>
  <c r="L54" i="5"/>
  <c r="L53" i="5"/>
  <c r="L52" i="5"/>
  <c r="L51" i="5"/>
  <c r="L46" i="5"/>
  <c r="L45" i="5"/>
  <c r="L44" i="5"/>
  <c r="L41" i="5"/>
  <c r="L40" i="5"/>
  <c r="L39" i="5"/>
  <c r="L38" i="5"/>
  <c r="L37" i="5"/>
  <c r="F33" i="5"/>
  <c r="F32" i="5"/>
  <c r="F31" i="5"/>
  <c r="F30" i="5"/>
  <c r="F26" i="5"/>
  <c r="F25" i="5"/>
  <c r="F24" i="5"/>
  <c r="F23" i="5"/>
  <c r="K19" i="5"/>
  <c r="F19" i="5"/>
  <c r="F18" i="5"/>
  <c r="F17" i="5"/>
  <c r="F16" i="5"/>
  <c r="L12" i="5"/>
  <c r="F12" i="5"/>
  <c r="F11" i="5"/>
  <c r="F10" i="5"/>
  <c r="F9" i="5"/>
  <c r="F5" i="5"/>
  <c r="F4" i="5"/>
  <c r="F3" i="5"/>
  <c r="F2" i="5"/>
  <c r="L34" i="5"/>
  <c r="L33" i="5"/>
  <c r="L32" i="5"/>
  <c r="L31" i="5"/>
  <c r="L30" i="5"/>
  <c r="L27" i="5"/>
  <c r="L26" i="5"/>
  <c r="L25" i="5"/>
  <c r="L24" i="5"/>
  <c r="L23" i="5"/>
  <c r="L19" i="5"/>
  <c r="L18" i="5"/>
  <c r="L17" i="5"/>
  <c r="L16" i="5"/>
  <c r="L11" i="5"/>
  <c r="L10" i="5"/>
  <c r="L9" i="5"/>
  <c r="L6" i="5"/>
  <c r="L5" i="5"/>
  <c r="L3" i="5"/>
  <c r="L4" i="5"/>
  <c r="L2" i="5"/>
  <c r="J37" i="4"/>
  <c r="L37" i="4" s="1"/>
  <c r="J36" i="4"/>
  <c r="L36" i="4" s="1"/>
  <c r="L35" i="4"/>
  <c r="M35" i="4" s="1"/>
  <c r="N35" i="4" s="1"/>
  <c r="J35" i="4"/>
  <c r="L34" i="4"/>
  <c r="L33" i="4"/>
  <c r="L32" i="4"/>
  <c r="M32" i="4" s="1"/>
  <c r="L31" i="4"/>
  <c r="L30" i="4"/>
  <c r="L29" i="4"/>
  <c r="M29" i="4" s="1"/>
  <c r="N29" i="4" s="1"/>
  <c r="J28" i="4"/>
  <c r="L28" i="4" s="1"/>
  <c r="J27" i="4"/>
  <c r="L27" i="4" s="1"/>
  <c r="J26" i="4"/>
  <c r="L26" i="4" s="1"/>
  <c r="L25" i="4"/>
  <c r="L24" i="4"/>
  <c r="L23" i="4"/>
  <c r="L22" i="4"/>
  <c r="L21" i="4"/>
  <c r="L20" i="4"/>
  <c r="O17" i="4"/>
  <c r="J8" i="4"/>
  <c r="M132" i="5" l="1"/>
  <c r="N132" i="5" s="1"/>
  <c r="M125" i="5"/>
  <c r="N125" i="5" s="1"/>
  <c r="M111" i="5"/>
  <c r="N111" i="5" s="1"/>
  <c r="G97" i="5"/>
  <c r="K83" i="5"/>
  <c r="L83" i="5" s="1"/>
  <c r="K76" i="5"/>
  <c r="L76" i="5" s="1"/>
  <c r="M137" i="5"/>
  <c r="N137" i="5" s="1"/>
  <c r="M139" i="5"/>
  <c r="N139" i="5" s="1"/>
  <c r="M138" i="5"/>
  <c r="N138" i="5" s="1"/>
  <c r="G137" i="5"/>
  <c r="M136" i="5"/>
  <c r="N136" i="5" s="1"/>
  <c r="M135" i="5"/>
  <c r="N135" i="5" s="1"/>
  <c r="M131" i="5"/>
  <c r="N131" i="5" s="1"/>
  <c r="M130" i="5"/>
  <c r="N130" i="5" s="1"/>
  <c r="M129" i="5"/>
  <c r="N129" i="5" s="1"/>
  <c r="M128" i="5"/>
  <c r="N128" i="5" s="1"/>
  <c r="M124" i="5"/>
  <c r="N124" i="5" s="1"/>
  <c r="M123" i="5"/>
  <c r="N123" i="5" s="1"/>
  <c r="M122" i="5"/>
  <c r="N122" i="5" s="1"/>
  <c r="M121" i="5"/>
  <c r="N121" i="5" s="1"/>
  <c r="M116" i="5"/>
  <c r="N116" i="5" s="1"/>
  <c r="M114" i="5"/>
  <c r="N114" i="5" s="1"/>
  <c r="M117" i="5"/>
  <c r="N117" i="5" s="1"/>
  <c r="G115" i="5"/>
  <c r="M115" i="5"/>
  <c r="N115" i="5" s="1"/>
  <c r="M118" i="5"/>
  <c r="N118" i="5" s="1"/>
  <c r="M107" i="5"/>
  <c r="N107" i="5" s="1"/>
  <c r="M109" i="5"/>
  <c r="N109" i="5" s="1"/>
  <c r="M110" i="5"/>
  <c r="N110" i="5" s="1"/>
  <c r="K101" i="5"/>
  <c r="L101" i="5" s="1"/>
  <c r="K103" i="5"/>
  <c r="L103" i="5" s="1"/>
  <c r="G95" i="5"/>
  <c r="K93" i="5"/>
  <c r="L93" i="5" s="1"/>
  <c r="K89" i="5"/>
  <c r="L89" i="5" s="1"/>
  <c r="K87" i="5"/>
  <c r="L87" i="5" s="1"/>
  <c r="K81" i="5"/>
  <c r="L81" i="5" s="1"/>
  <c r="K79" i="5"/>
  <c r="L79" i="5" s="1"/>
  <c r="K72" i="5"/>
  <c r="L72" i="5" s="1"/>
  <c r="G102" i="5"/>
  <c r="G104" i="5"/>
  <c r="G100" i="5"/>
  <c r="G94" i="5"/>
  <c r="G96" i="5"/>
  <c r="G86" i="5"/>
  <c r="G88" i="5"/>
  <c r="G90" i="5"/>
  <c r="G80" i="5"/>
  <c r="G82" i="5"/>
  <c r="G74" i="5"/>
  <c r="M20" i="4"/>
  <c r="N20" i="4" s="1"/>
  <c r="M26" i="4"/>
  <c r="N26" i="4" s="1"/>
  <c r="M23" i="4"/>
  <c r="N23" i="4" s="1"/>
  <c r="N32" i="4"/>
  <c r="O35" i="4"/>
  <c r="D45" i="5"/>
  <c r="M45" i="5" s="1"/>
  <c r="N45" i="5" s="1"/>
  <c r="D69" i="5"/>
  <c r="M69" i="5" s="1"/>
  <c r="N69" i="5" s="1"/>
  <c r="D68" i="5"/>
  <c r="M68" i="5" s="1"/>
  <c r="N68" i="5" s="1"/>
  <c r="D67" i="5"/>
  <c r="M67" i="5" s="1"/>
  <c r="N67" i="5" s="1"/>
  <c r="D66" i="5"/>
  <c r="M66" i="5" s="1"/>
  <c r="N66" i="5" s="1"/>
  <c r="D65" i="5"/>
  <c r="M65" i="5" s="1"/>
  <c r="N65" i="5" s="1"/>
  <c r="D62" i="5"/>
  <c r="M62" i="5" s="1"/>
  <c r="N62" i="5" s="1"/>
  <c r="D61" i="5"/>
  <c r="M61" i="5" s="1"/>
  <c r="N61" i="5" s="1"/>
  <c r="D60" i="5"/>
  <c r="M60" i="5" s="1"/>
  <c r="N60" i="5" s="1"/>
  <c r="D59" i="5"/>
  <c r="M59" i="5" s="1"/>
  <c r="N59" i="5" s="1"/>
  <c r="D58" i="5"/>
  <c r="M58" i="5" s="1"/>
  <c r="N58" i="5" s="1"/>
  <c r="D55" i="5"/>
  <c r="M55" i="5" s="1"/>
  <c r="N55" i="5" s="1"/>
  <c r="D54" i="5"/>
  <c r="G54" i="5" s="1"/>
  <c r="D53" i="5"/>
  <c r="M53" i="5" s="1"/>
  <c r="N53" i="5" s="1"/>
  <c r="D52" i="5"/>
  <c r="M52" i="5" s="1"/>
  <c r="N52" i="5" s="1"/>
  <c r="D51" i="5"/>
  <c r="M51" i="5" s="1"/>
  <c r="N51" i="5" s="1"/>
  <c r="D48" i="5"/>
  <c r="N48" i="5" s="1"/>
  <c r="D47" i="5"/>
  <c r="G47" i="5" s="1"/>
  <c r="D46" i="5"/>
  <c r="M46" i="5" s="1"/>
  <c r="N46" i="5" s="1"/>
  <c r="D44" i="5"/>
  <c r="M44" i="5" s="1"/>
  <c r="N44" i="5" s="1"/>
  <c r="D41" i="5"/>
  <c r="D40" i="5"/>
  <c r="M40" i="5" s="1"/>
  <c r="N40" i="5" s="1"/>
  <c r="D39" i="5"/>
  <c r="N39" i="5" s="1"/>
  <c r="D38" i="5"/>
  <c r="M38" i="5" s="1"/>
  <c r="N38" i="5" s="1"/>
  <c r="D37" i="5"/>
  <c r="D34" i="5"/>
  <c r="M34" i="5" s="1"/>
  <c r="N34" i="5" s="1"/>
  <c r="D33" i="5"/>
  <c r="M33" i="5" s="1"/>
  <c r="N33" i="5" s="1"/>
  <c r="D32" i="5"/>
  <c r="M32" i="5" s="1"/>
  <c r="N32" i="5" s="1"/>
  <c r="D31" i="5"/>
  <c r="M31" i="5" s="1"/>
  <c r="N31" i="5" s="1"/>
  <c r="D30" i="5"/>
  <c r="G30" i="5" s="1"/>
  <c r="D27" i="5"/>
  <c r="M27" i="5" s="1"/>
  <c r="N27" i="5" s="1"/>
  <c r="D26" i="5"/>
  <c r="D25" i="5"/>
  <c r="M25" i="5" s="1"/>
  <c r="N25" i="5" s="1"/>
  <c r="D24" i="5"/>
  <c r="M24" i="5" s="1"/>
  <c r="N24" i="5" s="1"/>
  <c r="D23" i="5"/>
  <c r="G23" i="5" s="1"/>
  <c r="D20" i="5"/>
  <c r="M20" i="5" s="1"/>
  <c r="N20" i="5" s="1"/>
  <c r="D19" i="5"/>
  <c r="M19" i="5" s="1"/>
  <c r="N19" i="5" s="1"/>
  <c r="D18" i="5"/>
  <c r="M18" i="5" s="1"/>
  <c r="N18" i="5" s="1"/>
  <c r="D17" i="5"/>
  <c r="M17" i="5" s="1"/>
  <c r="N17" i="5" s="1"/>
  <c r="D16" i="5"/>
  <c r="M16" i="5" s="1"/>
  <c r="N16" i="5" s="1"/>
  <c r="D13" i="5"/>
  <c r="M13" i="5" s="1"/>
  <c r="N13" i="5" s="1"/>
  <c r="D12" i="5"/>
  <c r="G12" i="5" s="1"/>
  <c r="D11" i="5"/>
  <c r="D10" i="5"/>
  <c r="M10" i="5" s="1"/>
  <c r="N10" i="5" s="1"/>
  <c r="D9" i="5"/>
  <c r="M9" i="5" s="1"/>
  <c r="N9" i="5" s="1"/>
  <c r="J18" i="4"/>
  <c r="L18" i="4" s="1"/>
  <c r="J19" i="4"/>
  <c r="L19" i="4" s="1"/>
  <c r="J17" i="4"/>
  <c r="L17" i="4" s="1"/>
  <c r="L12" i="4"/>
  <c r="L13" i="4"/>
  <c r="L14" i="4"/>
  <c r="L15" i="4"/>
  <c r="L16" i="4"/>
  <c r="J9" i="4"/>
  <c r="L9" i="4" s="1"/>
  <c r="J10" i="4"/>
  <c r="L10" i="4" s="1"/>
  <c r="L8" i="4"/>
  <c r="L5" i="4"/>
  <c r="L6" i="4"/>
  <c r="L3" i="4"/>
  <c r="L4" i="4"/>
  <c r="G41" i="5" l="1"/>
  <c r="M41" i="5"/>
  <c r="N41" i="5" s="1"/>
  <c r="M54" i="5"/>
  <c r="N54" i="5" s="1"/>
  <c r="N47" i="5"/>
  <c r="G39" i="5"/>
  <c r="M30" i="5"/>
  <c r="N30" i="5" s="1"/>
  <c r="G26" i="5"/>
  <c r="M26" i="5"/>
  <c r="N26" i="5" s="1"/>
  <c r="M23" i="5"/>
  <c r="N23" i="5" s="1"/>
  <c r="G11" i="5"/>
  <c r="M11" i="5"/>
  <c r="N11" i="5" s="1"/>
  <c r="M12" i="5"/>
  <c r="N12" i="5" s="1"/>
  <c r="G58" i="5"/>
  <c r="G44" i="5"/>
  <c r="G19" i="5"/>
  <c r="G65" i="5"/>
  <c r="G51" i="5"/>
  <c r="G9" i="5"/>
  <c r="G53" i="5"/>
  <c r="G61" i="5"/>
  <c r="G67" i="5"/>
  <c r="G33" i="5"/>
  <c r="G60" i="5"/>
  <c r="G18" i="5"/>
  <c r="G46" i="5"/>
  <c r="G68" i="5"/>
  <c r="O26" i="4"/>
  <c r="M17" i="4"/>
  <c r="N17" i="4" s="1"/>
  <c r="G40" i="5"/>
  <c r="G45" i="5"/>
  <c r="G25" i="5"/>
  <c r="G16" i="5"/>
  <c r="G69" i="5"/>
  <c r="G66" i="5"/>
  <c r="G62" i="5"/>
  <c r="G59" i="5"/>
  <c r="G55" i="5"/>
  <c r="G52" i="5"/>
  <c r="G48" i="5"/>
  <c r="G38" i="5"/>
  <c r="G37" i="5"/>
  <c r="G34" i="5"/>
  <c r="G32" i="5"/>
  <c r="G31" i="5"/>
  <c r="G27" i="5"/>
  <c r="G24" i="5"/>
  <c r="G20" i="5"/>
  <c r="G17" i="5"/>
  <c r="G13" i="5"/>
  <c r="G10" i="5"/>
  <c r="M8" i="4"/>
  <c r="N8" i="4" s="1"/>
  <c r="L11" i="4" l="1"/>
  <c r="M14" i="4" l="1"/>
  <c r="M11" i="4"/>
  <c r="N11" i="4" s="1"/>
  <c r="N14" i="4" l="1"/>
  <c r="L7" i="4"/>
  <c r="M5" i="4" s="1"/>
  <c r="L2" i="4"/>
  <c r="M2" i="4" s="1"/>
  <c r="N2" i="4" s="1"/>
  <c r="D6" i="5"/>
  <c r="M6" i="5" s="1"/>
  <c r="N6" i="5" s="1"/>
  <c r="D5" i="5"/>
  <c r="M5" i="5" s="1"/>
  <c r="N5" i="5" s="1"/>
  <c r="D4" i="5"/>
  <c r="M4" i="5" s="1"/>
  <c r="N4" i="5" s="1"/>
  <c r="D3" i="5"/>
  <c r="D2" i="5"/>
  <c r="M2" i="5" s="1"/>
  <c r="N2" i="5" s="1"/>
  <c r="G3" i="5" l="1"/>
  <c r="M3" i="5"/>
  <c r="N3" i="5" s="1"/>
  <c r="G4" i="5"/>
  <c r="N5" i="4"/>
  <c r="G6" i="5"/>
  <c r="G5" i="5"/>
  <c r="G2" i="5"/>
</calcChain>
</file>

<file path=xl/sharedStrings.xml><?xml version="1.0" encoding="utf-8"?>
<sst xmlns="http://schemas.openxmlformats.org/spreadsheetml/2006/main" count="393" uniqueCount="67">
  <si>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</si>
  <si>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</si>
  <si>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</si>
  <si>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</si>
  <si>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</si>
  <si>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</si>
  <si>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</si>
  <si>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</si>
  <si>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</si>
  <si>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</si>
  <si>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</si>
  <si>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</si>
  <si>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</si>
  <si>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</si>
  <si>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</si>
  <si>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BL012LacZ - VBMXgal80 plates (blue)</t>
  </si>
  <si>
    <t>BL048 - VBMXgal80 plates (white)</t>
  </si>
  <si>
    <t>TOTAL</t>
  </si>
  <si>
    <t>BL048 vs BL012 LacZ</t>
  </si>
  <si>
    <t>Ratio input (LacZ/WT)</t>
  </si>
  <si>
    <t>number of blue CFU (BL012 LacZ)</t>
  </si>
  <si>
    <t>Estimate in 10µL</t>
  </si>
  <si>
    <t>Output LacZ/WT</t>
  </si>
  <si>
    <t>Compet index</t>
  </si>
  <si>
    <t>number of white CFU (BL048) in 100µL</t>
  </si>
  <si>
    <t>BL048 Lac Z vs BL012</t>
  </si>
  <si>
    <t>BL012 - VBMXgal80 plates (white)</t>
  </si>
  <si>
    <t>BL048LacZ - VBMXgal80 plates (blue)</t>
  </si>
  <si>
    <t>BL048 vs BL048 LacZ</t>
  </si>
  <si>
    <t>BL048 Lac Z vs BL049</t>
  </si>
  <si>
    <t>BL049 - VBMXgal80 plates (white)</t>
  </si>
  <si>
    <t>BL048 LacZ  vs BL012</t>
  </si>
  <si>
    <t>BL048 LacZ  vs BL049</t>
  </si>
  <si>
    <t>BL048:BL012 LacZ mouse 1 input ratio: 1.75</t>
  </si>
  <si>
    <t>BL048:BL012 LacZ mouse 2 input ratio: 1.75</t>
  </si>
  <si>
    <t>BL048:BL012 LacZ mouse 3 input ratio: 1.75</t>
  </si>
  <si>
    <t>BL048:BL012 LacZ mouse 4 input ratio: 1.75</t>
  </si>
  <si>
    <t>BL048:BL012 LacZ mouse 5 input ratio: 1.75</t>
  </si>
  <si>
    <t>number of white CFU (BL048)
(Xgal or gent10 plates)</t>
  </si>
  <si>
    <t>dilution factor</t>
  </si>
  <si>
    <t>number of white CFU (BL012)
(Xgal plates)</t>
  </si>
  <si>
    <t>number of blue CFU (BL048)
(Xgal or gent10 plates)</t>
  </si>
  <si>
    <t>BL012:BL048 LacZ mouse 1 input ratio: 0.5</t>
  </si>
  <si>
    <t>BL012:BL048 LacZ mouse 2 input ratio: 0.5</t>
  </si>
  <si>
    <t>BL012:BL048 LacZ mouse 3 input ratio: 0.5</t>
  </si>
  <si>
    <t>BL012:BL048 LacZ mouse 4 input ratio: 0.5</t>
  </si>
  <si>
    <t>BL012:BL048 LacZ mouse 5 input ratio: 0.5</t>
  </si>
  <si>
    <t>number of blue CFU (BL048) in 100µL</t>
  </si>
  <si>
    <t>BL048:BL048 LacZ mouse 1 input ratio: 1</t>
  </si>
  <si>
    <t>number of white CFU (BL048)
(Xgal plates)</t>
  </si>
  <si>
    <t>number of blue CFU (BL048 LacZ)
(Xgal plates)</t>
  </si>
  <si>
    <t>BL048:BL048 LacZ mouse 2 input ratio: 1</t>
  </si>
  <si>
    <t>BL048:BL048 LacZ mouse 3 input ratio: 1</t>
  </si>
  <si>
    <t>BL048:BL048 LacZ mouse 4 input ratio: 1</t>
  </si>
  <si>
    <t>BL048:BL048 LacZ mouse 5 input ratio: 1</t>
  </si>
  <si>
    <t>BL049:BL048 LacZ mouse 5 input ratio: 0.5</t>
  </si>
  <si>
    <t>BL049:BL048 LacZ mouse 1 input ratio: 0.5</t>
  </si>
  <si>
    <t>number of white CFU (BL049)
(Xgal plates)</t>
  </si>
  <si>
    <t>BL049:BL048 LacZ mouse 2 input ratio: 0.5</t>
  </si>
  <si>
    <t>BL049:BL048 LacZ mouse 3 input ratio: 0.5</t>
  </si>
  <si>
    <t>BL049:BL048 LacZ mouse 4 input ratio: 0.5</t>
  </si>
  <si>
    <t>Ratio WT/LacZ</t>
  </si>
  <si>
    <t>compet index BL049/BL048 LacZ</t>
  </si>
  <si>
    <t>Output WT/lacZ</t>
  </si>
  <si>
    <t>Compet index WT/LacZ</t>
  </si>
  <si>
    <t>Output BL012:BL048 LacZ</t>
  </si>
  <si>
    <t>Compet Index BL012:BL48LacZ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</si>
</sst>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0"/>
    <numFmt numFmtId="167" formatCode="0.0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0" fontId="5" fillId="5" borderId="0" xfId="0" applyFont="1" applyFill="1" applyAlignment="1">
      <alignment horizontal="center"/>
    </xf>
    <xf numFmtId="0" fontId="5" fillId="5" borderId="0" xfId="0" applyFont="1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11" fontId="0" fillId="0" borderId="7" xfId="0" applyNumberFormat="1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8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19" xfId="0" applyNumberFormat="1" applyBorder="1" applyAlignment="1">
      <alignment horizontal="center" vertical="center"/>
    </xf>
    <xf numFmtId="0" fontId="0" fillId="0" borderId="4" xfId="0" applyBorder="1"/>
    <xf numFmtId="11" fontId="0" fillId="0" borderId="3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5" borderId="0" xfId="0" applyNumberFormat="1" applyFill="1"/>
    <xf numFmtId="0" fontId="0" fillId="0" borderId="1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165" fontId="0" fillId="2" borderId="31" xfId="0" applyNumberFormat="1" applyFill="1" applyBorder="1" applyAlignment="1">
      <alignment horizontal="center" vertical="center"/>
    </xf>
    <xf numFmtId="0" fontId="0" fillId="0" borderId="28" xfId="0" applyBorder="1"/>
    <xf numFmtId="0" fontId="0" fillId="0" borderId="24" xfId="0" applyBorder="1"/>
    <xf numFmtId="0" fontId="0" fillId="0" borderId="32" xfId="0" applyBorder="1"/>
    <xf numFmtId="165" fontId="0" fillId="0" borderId="33" xfId="0" applyNumberFormat="1" applyBorder="1" applyAlignment="1">
      <alignment horizontal="center" vertical="center"/>
    </xf>
    <xf numFmtId="165" fontId="0" fillId="0" borderId="34" xfId="0" applyNumberFormat="1" applyBorder="1" applyAlignment="1">
      <alignment horizontal="center" vertical="center"/>
    </xf>
    <xf numFmtId="165" fontId="0" fillId="2" borderId="35" xfId="0" applyNumberFormat="1" applyFill="1" applyBorder="1" applyAlignment="1">
      <alignment horizontal="center" vertical="center"/>
    </xf>
    <xf numFmtId="165" fontId="0" fillId="0" borderId="3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41" xfId="0" applyBorder="1"/>
    <xf numFmtId="0" fontId="0" fillId="0" borderId="42" xfId="0" applyBorder="1"/>
    <xf numFmtId="165" fontId="0" fillId="2" borderId="32" xfId="0" applyNumberFormat="1" applyFill="1" applyBorder="1" applyAlignment="1">
      <alignment horizontal="center" vertical="center"/>
    </xf>
    <xf numFmtId="165" fontId="0" fillId="0" borderId="21" xfId="0" applyNumberFormat="1" applyBorder="1" applyAlignment="1">
      <alignment horizontal="center" vertical="center"/>
    </xf>
    <xf numFmtId="165" fontId="0" fillId="0" borderId="44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165" fontId="0" fillId="2" borderId="45" xfId="0" applyNumberFormat="1" applyFill="1" applyBorder="1" applyAlignment="1">
      <alignment horizontal="center" vertical="center"/>
    </xf>
    <xf numFmtId="0" fontId="0" fillId="2" borderId="43" xfId="0" applyFill="1" applyBorder="1"/>
    <xf numFmtId="165" fontId="0" fillId="2" borderId="46" xfId="0" applyNumberForma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 wrapText="1"/>
    </xf>
    <xf numFmtId="166" fontId="0" fillId="0" borderId="0" xfId="0" applyNumberFormat="1"/>
    <xf numFmtId="166" fontId="0" fillId="5" borderId="0" xfId="0" applyNumberFormat="1" applyFill="1"/>
    <xf numFmtId="0" fontId="6" fillId="5" borderId="0" xfId="0" applyFont="1" applyFill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164" fontId="0" fillId="5" borderId="0" xfId="0" applyNumberFormat="1" applyFill="1" applyAlignment="1">
      <alignment horizontal="center" vertical="center" wrapText="1"/>
    </xf>
    <xf numFmtId="1" fontId="0" fillId="5" borderId="0" xfId="0" applyNumberFormat="1" applyFill="1" applyAlignment="1">
      <alignment horizontal="center" vertical="center" wrapText="1"/>
    </xf>
    <xf numFmtId="167" fontId="1" fillId="0" borderId="0" xfId="0" applyNumberFormat="1" applyFont="1" applyAlignment="1">
      <alignment horizontal="center" vertical="center" wrapText="1"/>
    </xf>
    <xf numFmtId="167" fontId="1" fillId="0" borderId="0" xfId="0" applyNumberFormat="1" applyFont="1"/>
    <xf numFmtId="167" fontId="1" fillId="5" borderId="0" xfId="0" applyNumberFormat="1" applyFont="1" applyFill="1"/>
    <xf numFmtId="0" fontId="0" fillId="0" borderId="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1" fontId="0" fillId="0" borderId="4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7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11" fontId="0" fillId="0" borderId="20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2" fontId="1" fillId="7" borderId="25" xfId="0" applyNumberFormat="1" applyFont="1" applyFill="1" applyBorder="1" applyAlignment="1">
      <alignment horizontal="center" vertical="center"/>
    </xf>
    <xf numFmtId="2" fontId="1" fillId="7" borderId="26" xfId="0" applyNumberFormat="1" applyFont="1" applyFill="1" applyBorder="1" applyAlignment="1">
      <alignment horizontal="center" vertical="center"/>
    </xf>
    <xf numFmtId="2" fontId="1" fillId="7" borderId="27" xfId="0" applyNumberFormat="1" applyFont="1" applyFill="1" applyBorder="1" applyAlignment="1">
      <alignment horizontal="center" vertical="center"/>
    </xf>
    <xf numFmtId="165" fontId="0" fillId="2" borderId="11" xfId="0" applyNumberFormat="1" applyFill="1" applyBorder="1" applyAlignment="1">
      <alignment horizontal="center" vertical="center"/>
    </xf>
    <xf numFmtId="165" fontId="0" fillId="2" borderId="24" xfId="0" applyNumberFormat="1" applyFill="1" applyBorder="1" applyAlignment="1">
      <alignment horizontal="center" vertical="center"/>
    </xf>
    <xf numFmtId="165" fontId="0" fillId="2" borderId="15" xfId="0" applyNumberFormat="1" applyFill="1" applyBorder="1" applyAlignment="1">
      <alignment horizontal="center" vertical="center"/>
    </xf>
    <xf numFmtId="11" fontId="0" fillId="0" borderId="23" xfId="0" applyNumberFormat="1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2" fontId="0" fillId="2" borderId="25" xfId="0" applyNumberFormat="1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2" fontId="0" fillId="2" borderId="27" xfId="0" applyNumberFormat="1" applyFill="1" applyBorder="1" applyAlignment="1">
      <alignment horizontal="center" vertical="center"/>
    </xf>
    <xf numFmtId="165" fontId="0" fillId="2" borderId="25" xfId="0" applyNumberFormat="1" applyFill="1" applyBorder="1" applyAlignment="1">
      <alignment horizontal="center" vertical="center"/>
    </xf>
    <xf numFmtId="165" fontId="0" fillId="2" borderId="26" xfId="0" applyNumberFormat="1" applyFill="1" applyBorder="1" applyAlignment="1">
      <alignment horizontal="center" vertical="center"/>
    </xf>
    <xf numFmtId="165" fontId="0" fillId="2" borderId="27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11" fontId="0" fillId="2" borderId="25" xfId="0" applyNumberFormat="1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165" fontId="0" fillId="7" borderId="25" xfId="0" applyNumberFormat="1" applyFill="1" applyBorder="1" applyAlignment="1">
      <alignment horizontal="center" vertical="center"/>
    </xf>
    <xf numFmtId="165" fontId="0" fillId="7" borderId="26" xfId="0" applyNumberFormat="1" applyFill="1" applyBorder="1" applyAlignment="1">
      <alignment horizontal="center" vertical="center"/>
    </xf>
    <xf numFmtId="165" fontId="0" fillId="7" borderId="27" xfId="0" applyNumberFormat="1" applyFill="1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center" wrapText="1"/>
    </xf>
    <xf numFmtId="2" fontId="0" fillId="7" borderId="25" xfId="0" applyNumberFormat="1" applyFill="1" applyBorder="1" applyAlignment="1">
      <alignment horizontal="center" vertical="center"/>
    </xf>
    <xf numFmtId="2" fontId="0" fillId="7" borderId="26" xfId="0" applyNumberFormat="1" applyFill="1" applyBorder="1" applyAlignment="1">
      <alignment horizontal="center" vertical="center"/>
    </xf>
    <xf numFmtId="2" fontId="0" fillId="7" borderId="27" xfId="0" applyNumberFormat="1" applyFill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/>
    <xf numFmtId="2" fontId="1" fillId="6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T55"/>
  <sheetViews>
    <sheetView zoomScale="81" workbookViewId="0">
      <selection activeCell="P17" sqref="P17:P19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  <col min="11" max="11" width="21" customWidth="1"/>
    <col min="12" max="12" width="11.6640625" customWidth="1"/>
    <col min="15" max="15" width="12" customWidth="1"/>
  </cols>
  <sheetData>
    <row r="1" spans="1:20" ht="33" customHeight="1" thickBot="1" x14ac:dyDescent="0.25">
      <c r="A1" s="18"/>
      <c r="B1" s="18"/>
      <c r="C1" s="18"/>
      <c r="D1" s="18"/>
      <c r="E1" s="18"/>
      <c r="I1" s="1"/>
      <c r="J1" s="43" t="s">
        <v>4</v>
      </c>
      <c r="K1" s="43" t="s">
        <v>5</v>
      </c>
      <c r="L1" s="43" t="s">
        <v>9</v>
      </c>
      <c r="M1" s="43" t="s">
        <v>6</v>
      </c>
      <c r="N1" s="43" t="s">
        <v>7</v>
      </c>
      <c r="O1" s="43" t="s">
        <v>19</v>
      </c>
      <c r="P1" s="43" t="s">
        <v>61</v>
      </c>
      <c r="Q1" s="6" t="s">
        <v>14</v>
      </c>
    </row>
    <row r="2" spans="1:20" ht="16" customHeight="1" x14ac:dyDescent="0.2">
      <c r="A2" s="19"/>
      <c r="B2" s="20"/>
      <c r="C2" s="20"/>
      <c r="D2" s="1"/>
      <c r="E2" s="5"/>
      <c r="H2" s="84" t="s">
        <v>18</v>
      </c>
      <c r="I2" s="94" t="s">
        <v>16</v>
      </c>
      <c r="J2" s="34">
        <v>25</v>
      </c>
      <c r="K2" s="37">
        <v>1000</v>
      </c>
      <c r="L2" s="35">
        <f t="shared" ref="L2:L10" si="0">J2*5*K2</f>
        <v>125000</v>
      </c>
      <c r="M2" s="104">
        <f>AVERAGE(L2:L4)</f>
        <v>133333.33333333334</v>
      </c>
      <c r="N2" s="107">
        <f>LOG10(M2)</f>
        <v>5.1249387366082999</v>
      </c>
      <c r="Q2" s="102">
        <v>0.34399999999999997</v>
      </c>
    </row>
    <row r="3" spans="1:20" ht="16" customHeight="1" x14ac:dyDescent="0.2">
      <c r="A3" s="19"/>
      <c r="B3" s="20"/>
      <c r="C3" s="20"/>
      <c r="D3" s="1"/>
      <c r="E3" s="5"/>
      <c r="H3" s="85"/>
      <c r="I3" s="95"/>
      <c r="J3" s="33">
        <v>25</v>
      </c>
      <c r="K3" s="38">
        <v>1000</v>
      </c>
      <c r="L3" s="30">
        <f t="shared" si="0"/>
        <v>125000</v>
      </c>
      <c r="M3" s="105"/>
      <c r="N3" s="108"/>
      <c r="Q3" s="102"/>
    </row>
    <row r="4" spans="1:20" x14ac:dyDescent="0.2">
      <c r="A4" s="21"/>
      <c r="B4" s="20"/>
      <c r="C4" s="20"/>
      <c r="D4" s="22"/>
      <c r="E4" s="23"/>
      <c r="H4" s="86"/>
      <c r="I4" s="89"/>
      <c r="J4" s="29">
        <v>30</v>
      </c>
      <c r="K4" s="39">
        <v>1000</v>
      </c>
      <c r="L4" s="30">
        <f t="shared" si="0"/>
        <v>150000</v>
      </c>
      <c r="M4" s="106"/>
      <c r="N4" s="99"/>
      <c r="Q4" s="102"/>
    </row>
    <row r="5" spans="1:20" x14ac:dyDescent="0.2">
      <c r="A5" s="19"/>
      <c r="B5" s="20"/>
      <c r="C5" s="20"/>
      <c r="D5" s="1"/>
      <c r="E5" s="5"/>
      <c r="H5" s="86"/>
      <c r="I5" s="89" t="s">
        <v>15</v>
      </c>
      <c r="J5" s="29">
        <v>45</v>
      </c>
      <c r="K5" s="30">
        <v>1000</v>
      </c>
      <c r="L5" s="32">
        <f>J5*5*K5</f>
        <v>225000</v>
      </c>
      <c r="M5" s="98">
        <f>AVERAGE(L5:L7)</f>
        <v>233333.33333333334</v>
      </c>
      <c r="N5" s="99">
        <f>LOG10(M5)</f>
        <v>5.3679767852945943</v>
      </c>
      <c r="Q5" s="103">
        <v>0.30299999999999999</v>
      </c>
    </row>
    <row r="6" spans="1:20" x14ac:dyDescent="0.2">
      <c r="A6" s="19"/>
      <c r="B6" s="20"/>
      <c r="C6" s="20"/>
      <c r="D6" s="1"/>
      <c r="E6" s="5"/>
      <c r="H6" s="86"/>
      <c r="I6" s="89"/>
      <c r="J6" s="29">
        <v>52</v>
      </c>
      <c r="K6" s="30">
        <v>1000</v>
      </c>
      <c r="L6" s="32">
        <f t="shared" si="0"/>
        <v>260000</v>
      </c>
      <c r="M6" s="98"/>
      <c r="N6" s="99"/>
      <c r="Q6" s="103"/>
    </row>
    <row r="7" spans="1:20" ht="17" thickBot="1" x14ac:dyDescent="0.25">
      <c r="A7" s="21"/>
      <c r="B7" s="20"/>
      <c r="C7" s="20"/>
      <c r="D7" s="22"/>
      <c r="E7" s="23"/>
      <c r="H7" s="86"/>
      <c r="I7" s="89"/>
      <c r="J7" s="29">
        <v>43</v>
      </c>
      <c r="K7" s="30">
        <v>1000</v>
      </c>
      <c r="L7" s="30">
        <f t="shared" si="0"/>
        <v>215000</v>
      </c>
      <c r="M7" s="98"/>
      <c r="N7" s="99"/>
      <c r="Q7" s="103"/>
    </row>
    <row r="8" spans="1:20" ht="16" customHeight="1" x14ac:dyDescent="0.2">
      <c r="H8" s="86"/>
      <c r="I8" s="100" t="s">
        <v>17</v>
      </c>
      <c r="J8" s="29">
        <f>J2+J5</f>
        <v>70</v>
      </c>
      <c r="K8" s="41">
        <v>1000</v>
      </c>
      <c r="L8" s="30">
        <f>J8*5*K8</f>
        <v>350000</v>
      </c>
      <c r="M8" s="92">
        <f>AVERAGE(L8:L10)</f>
        <v>366666.66666666669</v>
      </c>
      <c r="N8" s="112">
        <f>LOG10(M8)</f>
        <v>5.5642714304385628</v>
      </c>
      <c r="O8" s="117">
        <f>M5/M2</f>
        <v>1.75</v>
      </c>
      <c r="P8" s="109">
        <f>M2/M5</f>
        <v>0.5714285714285714</v>
      </c>
      <c r="T8" s="139"/>
    </row>
    <row r="9" spans="1:20" ht="16" customHeight="1" x14ac:dyDescent="0.2">
      <c r="H9" s="87"/>
      <c r="I9" s="101"/>
      <c r="J9" s="29">
        <f t="shared" ref="J9:J10" si="1">J3+J6</f>
        <v>77</v>
      </c>
      <c r="K9" s="42">
        <v>1000</v>
      </c>
      <c r="L9" s="30">
        <f t="shared" si="0"/>
        <v>385000</v>
      </c>
      <c r="M9" s="93"/>
      <c r="N9" s="113"/>
      <c r="O9" s="118"/>
      <c r="P9" s="110"/>
    </row>
    <row r="10" spans="1:20" ht="17" thickBot="1" x14ac:dyDescent="0.25">
      <c r="H10" s="87"/>
      <c r="I10" s="101"/>
      <c r="J10" s="40">
        <f t="shared" si="1"/>
        <v>73</v>
      </c>
      <c r="K10" s="42">
        <v>1000</v>
      </c>
      <c r="L10" s="31">
        <f t="shared" si="0"/>
        <v>365000</v>
      </c>
      <c r="M10" s="93"/>
      <c r="N10" s="113"/>
      <c r="O10" s="119"/>
      <c r="P10" s="111"/>
    </row>
    <row r="11" spans="1:20" ht="16" customHeight="1" x14ac:dyDescent="0.2">
      <c r="H11" s="84" t="s">
        <v>25</v>
      </c>
      <c r="I11" s="94" t="s">
        <v>26</v>
      </c>
      <c r="J11" s="34">
        <v>13</v>
      </c>
      <c r="K11" s="35">
        <v>10000</v>
      </c>
      <c r="L11" s="35">
        <f>J11*5*K11</f>
        <v>650000</v>
      </c>
      <c r="M11" s="96">
        <f>AVERAGE(L11:L13)</f>
        <v>550000</v>
      </c>
      <c r="N11" s="107">
        <f>LOG10(M11)</f>
        <v>5.7403626894942441</v>
      </c>
      <c r="Q11" s="123">
        <v>0.318</v>
      </c>
    </row>
    <row r="12" spans="1:20" ht="16" customHeight="1" x14ac:dyDescent="0.2">
      <c r="H12" s="85"/>
      <c r="I12" s="95"/>
      <c r="J12" s="33">
        <v>10</v>
      </c>
      <c r="K12" s="30">
        <v>10000</v>
      </c>
      <c r="L12" s="30">
        <f t="shared" ref="L12:L22" si="2">J12*5*K12</f>
        <v>500000</v>
      </c>
      <c r="M12" s="97"/>
      <c r="N12" s="108"/>
      <c r="Q12" s="123"/>
    </row>
    <row r="13" spans="1:20" x14ac:dyDescent="0.2">
      <c r="H13" s="86"/>
      <c r="I13" s="89"/>
      <c r="J13" s="29">
        <v>10</v>
      </c>
      <c r="K13" s="30">
        <v>10000</v>
      </c>
      <c r="L13" s="30">
        <f t="shared" si="2"/>
        <v>500000</v>
      </c>
      <c r="M13" s="98"/>
      <c r="N13" s="99"/>
      <c r="Q13" s="123"/>
    </row>
    <row r="14" spans="1:20" ht="16" customHeight="1" x14ac:dyDescent="0.2">
      <c r="H14" s="86"/>
      <c r="I14" s="89" t="s">
        <v>27</v>
      </c>
      <c r="J14" s="29">
        <v>6</v>
      </c>
      <c r="K14" s="30">
        <v>10000</v>
      </c>
      <c r="L14" s="30">
        <f t="shared" si="2"/>
        <v>300000</v>
      </c>
      <c r="M14" s="98">
        <f>AVERAGE(L14:L16)</f>
        <v>266666.66666666669</v>
      </c>
      <c r="N14" s="124">
        <f>LOG10(M14)</f>
        <v>5.4259687322722812</v>
      </c>
      <c r="Q14" s="103">
        <v>0.34699999999999998</v>
      </c>
    </row>
    <row r="15" spans="1:20" ht="16" customHeight="1" x14ac:dyDescent="0.2">
      <c r="H15" s="86"/>
      <c r="I15" s="89"/>
      <c r="J15" s="29">
        <v>4</v>
      </c>
      <c r="K15" s="30">
        <v>10000</v>
      </c>
      <c r="L15" s="30">
        <f t="shared" si="2"/>
        <v>200000</v>
      </c>
      <c r="M15" s="98"/>
      <c r="N15" s="125"/>
      <c r="Q15" s="103"/>
    </row>
    <row r="16" spans="1:20" ht="17" thickBot="1" x14ac:dyDescent="0.25">
      <c r="H16" s="86"/>
      <c r="I16" s="89"/>
      <c r="J16" s="29">
        <v>6</v>
      </c>
      <c r="K16" s="30">
        <v>10000</v>
      </c>
      <c r="L16" s="30">
        <f t="shared" si="2"/>
        <v>300000</v>
      </c>
      <c r="M16" s="98"/>
      <c r="N16" s="108"/>
      <c r="Q16" s="103"/>
    </row>
    <row r="17" spans="8:17" x14ac:dyDescent="0.2">
      <c r="H17" s="86"/>
      <c r="I17" s="89" t="s">
        <v>17</v>
      </c>
      <c r="J17" s="29">
        <f>J11+J14</f>
        <v>19</v>
      </c>
      <c r="K17" s="30">
        <v>10000</v>
      </c>
      <c r="L17" s="30">
        <f t="shared" si="2"/>
        <v>950000</v>
      </c>
      <c r="M17" s="92">
        <f>AVERAGE(L17:L19)</f>
        <v>816666.66666666663</v>
      </c>
      <c r="N17" s="112">
        <f>LOG10(M17)</f>
        <v>5.91204482964487</v>
      </c>
      <c r="O17" s="120">
        <f>M14/M11</f>
        <v>0.48484848484848486</v>
      </c>
      <c r="P17" s="141">
        <f>M11/M14</f>
        <v>2.0625</v>
      </c>
    </row>
    <row r="18" spans="8:17" x14ac:dyDescent="0.2">
      <c r="H18" s="87"/>
      <c r="I18" s="90"/>
      <c r="J18" s="29">
        <f t="shared" ref="J18:J19" si="3">J12+J15</f>
        <v>14</v>
      </c>
      <c r="K18" s="30">
        <v>10000</v>
      </c>
      <c r="L18" s="30">
        <f>J18*5*K18</f>
        <v>700000</v>
      </c>
      <c r="M18" s="115"/>
      <c r="N18" s="113"/>
      <c r="O18" s="121"/>
      <c r="P18" s="142"/>
    </row>
    <row r="19" spans="8:17" ht="17" thickBot="1" x14ac:dyDescent="0.25">
      <c r="H19" s="88"/>
      <c r="I19" s="91"/>
      <c r="J19" s="29">
        <f t="shared" si="3"/>
        <v>16</v>
      </c>
      <c r="K19" s="36">
        <v>10000</v>
      </c>
      <c r="L19" s="36">
        <f t="shared" si="2"/>
        <v>800000</v>
      </c>
      <c r="M19" s="116"/>
      <c r="N19" s="114"/>
      <c r="O19" s="122"/>
      <c r="P19" s="143"/>
    </row>
    <row r="20" spans="8:17" x14ac:dyDescent="0.2">
      <c r="H20" s="84" t="s">
        <v>28</v>
      </c>
      <c r="I20" s="94" t="s">
        <v>16</v>
      </c>
      <c r="J20" s="34">
        <v>7</v>
      </c>
      <c r="K20" s="37">
        <v>10000</v>
      </c>
      <c r="L20" s="35">
        <f t="shared" si="2"/>
        <v>350000</v>
      </c>
      <c r="M20" s="104">
        <f>AVERAGE(L20:L22)</f>
        <v>383333.33333333331</v>
      </c>
      <c r="N20" s="107">
        <f>LOG10(M20)</f>
        <v>5.5835765856339492</v>
      </c>
      <c r="Q20" s="123">
        <v>0.34399999999999997</v>
      </c>
    </row>
    <row r="21" spans="8:17" x14ac:dyDescent="0.2">
      <c r="H21" s="85"/>
      <c r="I21" s="95"/>
      <c r="J21" s="33">
        <v>6</v>
      </c>
      <c r="K21" s="38">
        <v>10000</v>
      </c>
      <c r="L21" s="30">
        <f t="shared" si="2"/>
        <v>300000</v>
      </c>
      <c r="M21" s="105"/>
      <c r="N21" s="108"/>
      <c r="Q21" s="123"/>
    </row>
    <row r="22" spans="8:17" x14ac:dyDescent="0.2">
      <c r="H22" s="86"/>
      <c r="I22" s="89"/>
      <c r="J22" s="29">
        <v>10</v>
      </c>
      <c r="K22" s="39">
        <v>10000</v>
      </c>
      <c r="L22" s="30">
        <f t="shared" si="2"/>
        <v>500000</v>
      </c>
      <c r="M22" s="106"/>
      <c r="N22" s="99"/>
      <c r="Q22" s="123"/>
    </row>
    <row r="23" spans="8:17" x14ac:dyDescent="0.2">
      <c r="H23" s="86"/>
      <c r="I23" s="89" t="s">
        <v>27</v>
      </c>
      <c r="J23" s="29">
        <v>6</v>
      </c>
      <c r="K23" s="30">
        <v>10000</v>
      </c>
      <c r="L23" s="32">
        <f>J23*5*K23</f>
        <v>300000</v>
      </c>
      <c r="M23" s="98">
        <f>AVERAGE(L23:L25)</f>
        <v>383333.33333333331</v>
      </c>
      <c r="N23" s="99">
        <f>LOG10(M23)</f>
        <v>5.5835765856339492</v>
      </c>
      <c r="Q23" s="123">
        <v>0.34699999999999998</v>
      </c>
    </row>
    <row r="24" spans="8:17" x14ac:dyDescent="0.2">
      <c r="H24" s="86"/>
      <c r="I24" s="89"/>
      <c r="J24" s="29">
        <v>10</v>
      </c>
      <c r="K24" s="30">
        <v>10000</v>
      </c>
      <c r="L24" s="32">
        <f t="shared" ref="L24:L25" si="4">J24*5*K24</f>
        <v>500000</v>
      </c>
      <c r="M24" s="98"/>
      <c r="N24" s="99"/>
      <c r="Q24" s="123"/>
    </row>
    <row r="25" spans="8:17" ht="17" thickBot="1" x14ac:dyDescent="0.25">
      <c r="H25" s="86"/>
      <c r="I25" s="89"/>
      <c r="J25" s="29">
        <v>7</v>
      </c>
      <c r="K25" s="30">
        <v>10000</v>
      </c>
      <c r="L25" s="30">
        <f t="shared" si="4"/>
        <v>350000</v>
      </c>
      <c r="M25" s="98"/>
      <c r="N25" s="99"/>
      <c r="Q25" s="123"/>
    </row>
    <row r="26" spans="8:17" x14ac:dyDescent="0.2">
      <c r="H26" s="86"/>
      <c r="I26" s="100" t="s">
        <v>17</v>
      </c>
      <c r="J26" s="29">
        <f>J20+J23</f>
        <v>13</v>
      </c>
      <c r="K26" s="41">
        <v>10000</v>
      </c>
      <c r="L26" s="30">
        <f>J26*5*K26</f>
        <v>650000</v>
      </c>
      <c r="M26" s="92">
        <f>AVERAGE(L26:L28)</f>
        <v>766666.66666666663</v>
      </c>
      <c r="N26" s="112">
        <f>LOG10(M26)</f>
        <v>5.8846065812979305</v>
      </c>
      <c r="O26" s="126">
        <f>M23/M20</f>
        <v>1</v>
      </c>
    </row>
    <row r="27" spans="8:17" x14ac:dyDescent="0.2">
      <c r="H27" s="87"/>
      <c r="I27" s="101"/>
      <c r="J27" s="29">
        <f t="shared" ref="J27:J28" si="5">J21+J24</f>
        <v>16</v>
      </c>
      <c r="K27" s="42">
        <v>10000</v>
      </c>
      <c r="L27" s="30">
        <f t="shared" ref="L27:L28" si="6">J27*5*K27</f>
        <v>800000</v>
      </c>
      <c r="M27" s="93"/>
      <c r="N27" s="113"/>
      <c r="O27" s="127"/>
    </row>
    <row r="28" spans="8:17" ht="17" thickBot="1" x14ac:dyDescent="0.25">
      <c r="H28" s="87"/>
      <c r="I28" s="101"/>
      <c r="J28" s="40">
        <f t="shared" si="5"/>
        <v>17</v>
      </c>
      <c r="K28" s="42">
        <v>10000</v>
      </c>
      <c r="L28" s="31">
        <f t="shared" si="6"/>
        <v>850000</v>
      </c>
      <c r="M28" s="93"/>
      <c r="N28" s="113"/>
      <c r="O28" s="128"/>
    </row>
    <row r="29" spans="8:17" x14ac:dyDescent="0.2">
      <c r="H29" s="84" t="s">
        <v>29</v>
      </c>
      <c r="I29" s="94" t="s">
        <v>30</v>
      </c>
      <c r="J29" s="34">
        <v>13</v>
      </c>
      <c r="K29" s="35">
        <v>10000</v>
      </c>
      <c r="L29" s="35">
        <f>J29*5*K29</f>
        <v>650000</v>
      </c>
      <c r="M29" s="96">
        <f>AVERAGE(L29:L31)</f>
        <v>550000</v>
      </c>
      <c r="N29" s="107">
        <f>LOG10(M29)</f>
        <v>5.7403626894942441</v>
      </c>
      <c r="Q29" s="123">
        <v>0.34499999999999997</v>
      </c>
    </row>
    <row r="30" spans="8:17" x14ac:dyDescent="0.2">
      <c r="H30" s="85"/>
      <c r="I30" s="95"/>
      <c r="J30" s="33">
        <v>10</v>
      </c>
      <c r="K30" s="30">
        <v>10000</v>
      </c>
      <c r="L30" s="30">
        <f t="shared" ref="L30:L35" si="7">J30*5*K30</f>
        <v>500000</v>
      </c>
      <c r="M30" s="97"/>
      <c r="N30" s="108"/>
      <c r="Q30" s="123"/>
    </row>
    <row r="31" spans="8:17" x14ac:dyDescent="0.2">
      <c r="H31" s="86"/>
      <c r="I31" s="89"/>
      <c r="J31" s="29">
        <v>10</v>
      </c>
      <c r="K31" s="30">
        <v>10000</v>
      </c>
      <c r="L31" s="30">
        <f t="shared" si="7"/>
        <v>500000</v>
      </c>
      <c r="M31" s="98"/>
      <c r="N31" s="99"/>
      <c r="Q31" s="123"/>
    </row>
    <row r="32" spans="8:17" x14ac:dyDescent="0.2">
      <c r="H32" s="86"/>
      <c r="I32" s="89" t="s">
        <v>27</v>
      </c>
      <c r="J32" s="29">
        <v>6</v>
      </c>
      <c r="K32" s="30">
        <v>10000</v>
      </c>
      <c r="L32" s="30">
        <f t="shared" si="7"/>
        <v>300000</v>
      </c>
      <c r="M32" s="98">
        <f>AVERAGE(L32:L34)</f>
        <v>266666.66666666669</v>
      </c>
      <c r="N32" s="124">
        <f>LOG10(M32)</f>
        <v>5.4259687322722812</v>
      </c>
      <c r="Q32" s="103">
        <v>0.34699999999999998</v>
      </c>
    </row>
    <row r="33" spans="8:17" x14ac:dyDescent="0.2">
      <c r="H33" s="86"/>
      <c r="I33" s="89"/>
      <c r="J33" s="29">
        <v>4</v>
      </c>
      <c r="K33" s="30">
        <v>10000</v>
      </c>
      <c r="L33" s="30">
        <f t="shared" si="7"/>
        <v>200000</v>
      </c>
      <c r="M33" s="98"/>
      <c r="N33" s="125"/>
      <c r="Q33" s="103"/>
    </row>
    <row r="34" spans="8:17" ht="17" thickBot="1" x14ac:dyDescent="0.25">
      <c r="H34" s="86"/>
      <c r="I34" s="89"/>
      <c r="J34" s="29">
        <v>6</v>
      </c>
      <c r="K34" s="30">
        <v>10000</v>
      </c>
      <c r="L34" s="30">
        <f t="shared" si="7"/>
        <v>300000</v>
      </c>
      <c r="M34" s="98"/>
      <c r="N34" s="108"/>
      <c r="Q34" s="103"/>
    </row>
    <row r="35" spans="8:17" x14ac:dyDescent="0.2">
      <c r="H35" s="86"/>
      <c r="I35" s="89" t="s">
        <v>17</v>
      </c>
      <c r="J35" s="29">
        <f>J29+J32</f>
        <v>19</v>
      </c>
      <c r="K35" s="30">
        <v>10000</v>
      </c>
      <c r="L35" s="30">
        <f t="shared" si="7"/>
        <v>950000</v>
      </c>
      <c r="M35" s="92">
        <f>AVERAGE(L35:L37)</f>
        <v>816666.66666666663</v>
      </c>
      <c r="N35" s="112">
        <f>LOG10(M35)</f>
        <v>5.91204482964487</v>
      </c>
      <c r="O35" s="120">
        <f>M32/M29</f>
        <v>0.48484848484848486</v>
      </c>
      <c r="P35" s="129">
        <f>M29/M32</f>
        <v>2.0625</v>
      </c>
    </row>
    <row r="36" spans="8:17" x14ac:dyDescent="0.2">
      <c r="H36" s="87"/>
      <c r="I36" s="90"/>
      <c r="J36" s="29">
        <f t="shared" ref="J36:J37" si="8">J30+J33</f>
        <v>14</v>
      </c>
      <c r="K36" s="30">
        <v>10000</v>
      </c>
      <c r="L36" s="30">
        <f>J36*5*K36</f>
        <v>700000</v>
      </c>
      <c r="M36" s="115"/>
      <c r="N36" s="113"/>
      <c r="O36" s="121"/>
      <c r="P36" s="130"/>
    </row>
    <row r="37" spans="8:17" ht="17" thickBot="1" x14ac:dyDescent="0.25">
      <c r="H37" s="88"/>
      <c r="I37" s="91"/>
      <c r="J37" s="29">
        <f t="shared" si="8"/>
        <v>16</v>
      </c>
      <c r="K37" s="36">
        <v>10000</v>
      </c>
      <c r="L37" s="36">
        <f t="shared" ref="L37" si="9">J37*5*K37</f>
        <v>800000</v>
      </c>
      <c r="M37" s="116"/>
      <c r="N37" s="114"/>
      <c r="O37" s="122"/>
      <c r="P37" s="131"/>
    </row>
    <row r="42" spans="8:17" ht="17" thickBot="1" x14ac:dyDescent="0.25"/>
    <row r="43" spans="8:17" ht="17" thickBot="1" x14ac:dyDescent="0.25">
      <c r="J43" s="55" t="s">
        <v>7</v>
      </c>
      <c r="K43" s="53" t="s">
        <v>19</v>
      </c>
    </row>
    <row r="44" spans="8:17" ht="60" customHeight="1" x14ac:dyDescent="0.2">
      <c r="H44" s="132" t="s">
        <v>18</v>
      </c>
      <c r="I44" s="46" t="s">
        <v>16</v>
      </c>
      <c r="J44" s="56">
        <v>5.0999999999999996</v>
      </c>
      <c r="K44" s="53"/>
    </row>
    <row r="45" spans="8:17" ht="60" customHeight="1" thickBot="1" x14ac:dyDescent="0.25">
      <c r="H45" s="133"/>
      <c r="I45" s="47" t="s">
        <v>15</v>
      </c>
      <c r="J45" s="57">
        <v>5.4</v>
      </c>
      <c r="K45" s="54"/>
    </row>
    <row r="46" spans="8:17" ht="17" thickBot="1" x14ac:dyDescent="0.25">
      <c r="H46" s="134"/>
      <c r="I46" s="49" t="s">
        <v>17</v>
      </c>
      <c r="J46" s="58">
        <v>5.6</v>
      </c>
      <c r="K46" s="50">
        <v>1.75</v>
      </c>
    </row>
    <row r="47" spans="8:17" ht="60" customHeight="1" x14ac:dyDescent="0.2">
      <c r="H47" s="135" t="s">
        <v>31</v>
      </c>
      <c r="I47" s="48" t="s">
        <v>26</v>
      </c>
      <c r="J47" s="59">
        <v>5.7</v>
      </c>
      <c r="K47" s="54"/>
    </row>
    <row r="48" spans="8:17" ht="52" thickBot="1" x14ac:dyDescent="0.25">
      <c r="H48" s="133"/>
      <c r="I48" s="47" t="s">
        <v>27</v>
      </c>
      <c r="J48" s="57">
        <v>5.4</v>
      </c>
      <c r="K48" s="54"/>
    </row>
    <row r="49" spans="8:11" ht="18" thickBot="1" x14ac:dyDescent="0.25">
      <c r="H49" s="136"/>
      <c r="I49" s="51" t="s">
        <v>17</v>
      </c>
      <c r="J49" s="64">
        <v>5.8553172051959432</v>
      </c>
      <c r="K49" s="52">
        <v>0.5</v>
      </c>
    </row>
    <row r="50" spans="8:11" ht="51" x14ac:dyDescent="0.2">
      <c r="H50" s="132" t="s">
        <v>28</v>
      </c>
      <c r="I50" s="68" t="s">
        <v>16</v>
      </c>
      <c r="J50" s="65">
        <v>5.6</v>
      </c>
      <c r="K50" s="62"/>
    </row>
    <row r="51" spans="8:11" ht="52" thickBot="1" x14ac:dyDescent="0.25">
      <c r="H51" s="133"/>
      <c r="I51" s="60" t="s">
        <v>27</v>
      </c>
      <c r="J51" s="66">
        <v>5.6</v>
      </c>
      <c r="K51" s="63"/>
    </row>
    <row r="52" spans="8:11" ht="17" thickBot="1" x14ac:dyDescent="0.25">
      <c r="H52" s="134"/>
      <c r="I52" s="69" t="s">
        <v>17</v>
      </c>
      <c r="J52" s="70">
        <v>5.9</v>
      </c>
      <c r="K52" s="71">
        <v>1</v>
      </c>
    </row>
    <row r="53" spans="8:11" ht="51" x14ac:dyDescent="0.2">
      <c r="H53" s="135" t="s">
        <v>32</v>
      </c>
      <c r="I53" s="61" t="s">
        <v>30</v>
      </c>
      <c r="J53" s="67">
        <v>5.7</v>
      </c>
      <c r="K53" s="63"/>
    </row>
    <row r="54" spans="8:11" ht="52" thickBot="1" x14ac:dyDescent="0.25">
      <c r="H54" s="133"/>
      <c r="I54" s="60" t="s">
        <v>27</v>
      </c>
      <c r="J54" s="66">
        <v>5.4</v>
      </c>
      <c r="K54" s="63"/>
    </row>
    <row r="55" spans="8:11" ht="17" thickBot="1" x14ac:dyDescent="0.25">
      <c r="H55" s="136"/>
      <c r="I55" s="69" t="s">
        <v>17</v>
      </c>
      <c r="J55" s="72">
        <v>5.9</v>
      </c>
      <c r="K55" s="71">
        <v>0.5</v>
      </c>
    </row>
  </sheetData>
  <mergeCells count="59">
    <mergeCell ref="H50:H52"/>
    <mergeCell ref="H53:H55"/>
    <mergeCell ref="H29:H37"/>
    <mergeCell ref="I29:I31"/>
    <mergeCell ref="M29:M31"/>
    <mergeCell ref="I35:I37"/>
    <mergeCell ref="M35:M37"/>
    <mergeCell ref="H44:H46"/>
    <mergeCell ref="H47:H49"/>
    <mergeCell ref="I32:I34"/>
    <mergeCell ref="M32:M34"/>
    <mergeCell ref="N32:N34"/>
    <mergeCell ref="Q32:Q34"/>
    <mergeCell ref="P35:P37"/>
    <mergeCell ref="N35:N37"/>
    <mergeCell ref="O35:O37"/>
    <mergeCell ref="H20:H28"/>
    <mergeCell ref="I20:I22"/>
    <mergeCell ref="M20:M22"/>
    <mergeCell ref="N20:N22"/>
    <mergeCell ref="I26:I28"/>
    <mergeCell ref="M26:M28"/>
    <mergeCell ref="N26:N28"/>
    <mergeCell ref="O26:O28"/>
    <mergeCell ref="N29:N31"/>
    <mergeCell ref="Q20:Q22"/>
    <mergeCell ref="I23:I25"/>
    <mergeCell ref="M23:M25"/>
    <mergeCell ref="N23:N25"/>
    <mergeCell ref="Q23:Q25"/>
    <mergeCell ref="Q29:Q31"/>
    <mergeCell ref="N17:N19"/>
    <mergeCell ref="M17:M19"/>
    <mergeCell ref="Q14:Q16"/>
    <mergeCell ref="O8:O10"/>
    <mergeCell ref="O17:O19"/>
    <mergeCell ref="Q11:Q13"/>
    <mergeCell ref="N11:N13"/>
    <mergeCell ref="N8:N10"/>
    <mergeCell ref="N14:N16"/>
    <mergeCell ref="P17:P19"/>
    <mergeCell ref="N5:N7"/>
    <mergeCell ref="I14:I16"/>
    <mergeCell ref="M14:M16"/>
    <mergeCell ref="I8:I10"/>
    <mergeCell ref="Q2:Q4"/>
    <mergeCell ref="Q5:Q7"/>
    <mergeCell ref="I2:I4"/>
    <mergeCell ref="M2:M4"/>
    <mergeCell ref="N2:N4"/>
    <mergeCell ref="M5:M7"/>
    <mergeCell ref="P8:P10"/>
    <mergeCell ref="H2:H10"/>
    <mergeCell ref="H11:H19"/>
    <mergeCell ref="I17:I19"/>
    <mergeCell ref="M8:M10"/>
    <mergeCell ref="I5:I7"/>
    <mergeCell ref="I11:I13"/>
    <mergeCell ref="M11:M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Q321"/>
  <sheetViews>
    <sheetView tabSelected="1" topLeftCell="A43" zoomScaleNormal="100" workbookViewId="0">
      <selection activeCell="Q65" sqref="Q65:Q69"/>
    </sheetView>
  </sheetViews>
  <sheetFormatPr baseColWidth="10" defaultRowHeight="16" x14ac:dyDescent="0.2"/>
  <cols>
    <col min="1" max="1" width="16.83203125" customWidth="1"/>
    <col min="8" max="10" width="10.83203125" style="3"/>
    <col min="11" max="11" width="23" style="3" customWidth="1"/>
    <col min="14" max="14" width="11.6640625" style="74" bestFit="1" customWidth="1"/>
    <col min="16" max="16" width="13.83203125" customWidth="1"/>
    <col min="17" max="17" width="11.5" style="82" customWidth="1"/>
  </cols>
  <sheetData>
    <row r="1" spans="1:17" ht="51" x14ac:dyDescent="0.2">
      <c r="A1" s="2" t="s">
        <v>33</v>
      </c>
      <c r="B1" s="137" t="s">
        <v>20</v>
      </c>
      <c r="C1" s="137"/>
      <c r="D1" s="5" t="s">
        <v>0</v>
      </c>
      <c r="E1" s="5" t="s">
        <v>3</v>
      </c>
      <c r="F1" s="5" t="s">
        <v>1</v>
      </c>
      <c r="G1" s="8" t="s">
        <v>2</v>
      </c>
      <c r="H1" s="138" t="s">
        <v>38</v>
      </c>
      <c r="I1" s="138"/>
      <c r="J1" s="44" t="s">
        <v>39</v>
      </c>
      <c r="K1" s="44" t="s">
        <v>24</v>
      </c>
      <c r="L1" s="5" t="s">
        <v>21</v>
      </c>
      <c r="M1" s="5" t="s">
        <v>22</v>
      </c>
      <c r="N1" s="73" t="s">
        <v>23</v>
      </c>
      <c r="P1" s="5" t="s">
        <v>63</v>
      </c>
      <c r="Q1" s="81" t="s">
        <v>64</v>
      </c>
    </row>
    <row r="2" spans="1:17" x14ac:dyDescent="0.2">
      <c r="A2" s="4" t="s">
        <v>10</v>
      </c>
      <c r="B2">
        <v>58</v>
      </c>
      <c r="C2">
        <v>48</v>
      </c>
      <c r="D2">
        <f>AVERAGE(B2:C2)</f>
        <v>53</v>
      </c>
      <c r="E2" s="4">
        <v>100</v>
      </c>
      <c r="F2" s="4">
        <f>1700-1684.8</f>
        <v>15.200000000000045</v>
      </c>
      <c r="G2" s="9">
        <f>LOG10(D2*100*E2/F2*1000)</f>
        <v>7.5424322816560156</v>
      </c>
      <c r="H2" s="3">
        <v>28</v>
      </c>
      <c r="J2" s="3">
        <v>1</v>
      </c>
      <c r="L2">
        <f>(AVERAGE(H2:I2)*J2)</f>
        <v>28</v>
      </c>
      <c r="M2">
        <f>(D2*E2)/L2</f>
        <v>189.28571428571428</v>
      </c>
      <c r="N2" s="74">
        <f>M2/dose!$K$46</f>
        <v>108.16326530612244</v>
      </c>
      <c r="P2">
        <f>L2/(D2*E2)</f>
        <v>5.2830188679245287E-3</v>
      </c>
      <c r="Q2" s="82">
        <f>P2/dose!$P$8</f>
        <v>9.2452830188679263E-3</v>
      </c>
    </row>
    <row r="3" spans="1:17" x14ac:dyDescent="0.2">
      <c r="A3" s="4" t="s">
        <v>11</v>
      </c>
      <c r="B3">
        <v>6</v>
      </c>
      <c r="D3">
        <f t="shared" ref="D3:D6" si="0">AVERAGE(B3:C3)</f>
        <v>6</v>
      </c>
      <c r="E3" s="4">
        <v>10000</v>
      </c>
      <c r="F3" s="4">
        <f>1656.5-1630.4</f>
        <v>26.099999999999909</v>
      </c>
      <c r="G3" s="9">
        <f>LOG10(D3*100*E3/F3*1000)</f>
        <v>8.3615107430453648</v>
      </c>
      <c r="H3" s="3">
        <v>21</v>
      </c>
      <c r="J3" s="3">
        <v>10</v>
      </c>
      <c r="L3">
        <f t="shared" ref="L3:L4" si="1">(AVERAGE(H3:I3)*J3)</f>
        <v>210</v>
      </c>
      <c r="M3">
        <f t="shared" ref="M3:M6" si="2">(D3*E3)/L3</f>
        <v>285.71428571428572</v>
      </c>
      <c r="N3" s="74">
        <f>M3/dose!$K$46</f>
        <v>163.26530612244898</v>
      </c>
      <c r="P3">
        <f t="shared" ref="P3:P6" si="3">L3/(D3*E3)</f>
        <v>3.5000000000000001E-3</v>
      </c>
      <c r="Q3" s="82">
        <f>P3/dose!$P$8</f>
        <v>6.1250000000000002E-3</v>
      </c>
    </row>
    <row r="4" spans="1:17" x14ac:dyDescent="0.2">
      <c r="A4" s="4" t="s">
        <v>8</v>
      </c>
      <c r="B4">
        <v>22</v>
      </c>
      <c r="D4">
        <f t="shared" si="0"/>
        <v>22</v>
      </c>
      <c r="E4" s="4">
        <v>10000</v>
      </c>
      <c r="F4" s="4">
        <f>1876.3-1852.7</f>
        <v>23.599999999999909</v>
      </c>
      <c r="G4" s="9">
        <f t="shared" ref="G4:G6" si="4">LOG10(D4*100*E4/F4*1000)</f>
        <v>8.9695106778521012</v>
      </c>
      <c r="H4" s="3">
        <v>21</v>
      </c>
      <c r="J4" s="3">
        <v>1</v>
      </c>
      <c r="L4">
        <f t="shared" si="1"/>
        <v>21</v>
      </c>
      <c r="M4">
        <f>(D4*E4)/L4</f>
        <v>10476.190476190477</v>
      </c>
      <c r="N4" s="74">
        <f>M4/dose!$K$46</f>
        <v>5986.3945578231296</v>
      </c>
      <c r="P4">
        <f t="shared" si="3"/>
        <v>9.5454545454545461E-5</v>
      </c>
      <c r="Q4" s="82">
        <f>P4/dose!$P$8</f>
        <v>1.6704545454545458E-4</v>
      </c>
    </row>
    <row r="5" spans="1:17" x14ac:dyDescent="0.2">
      <c r="A5" s="4" t="s">
        <v>13</v>
      </c>
      <c r="B5">
        <v>28</v>
      </c>
      <c r="D5">
        <f t="shared" si="0"/>
        <v>28</v>
      </c>
      <c r="E5" s="4">
        <v>100</v>
      </c>
      <c r="F5" s="4">
        <f>1973.4-1934.2</f>
        <v>39.200000000000045</v>
      </c>
      <c r="G5" s="9">
        <f t="shared" si="4"/>
        <v>6.8538719643217618</v>
      </c>
      <c r="K5" s="3">
        <v>13</v>
      </c>
      <c r="L5">
        <f>K5/10</f>
        <v>1.3</v>
      </c>
      <c r="M5">
        <f t="shared" si="2"/>
        <v>2153.8461538461538</v>
      </c>
      <c r="N5" s="74">
        <f>M5/dose!$K$46</f>
        <v>1230.7692307692307</v>
      </c>
      <c r="P5">
        <f t="shared" si="3"/>
        <v>4.6428571428571428E-4</v>
      </c>
      <c r="Q5" s="82">
        <f>P5/dose!$P$8</f>
        <v>8.1250000000000007E-4</v>
      </c>
    </row>
    <row r="6" spans="1:17" ht="16" customHeight="1" x14ac:dyDescent="0.2">
      <c r="A6" s="5" t="s">
        <v>12</v>
      </c>
      <c r="B6" s="7">
        <v>3</v>
      </c>
      <c r="C6" s="7"/>
      <c r="D6">
        <f t="shared" si="0"/>
        <v>3</v>
      </c>
      <c r="E6" s="5">
        <v>1</v>
      </c>
      <c r="F6" s="5">
        <f>1784.3-1727.6</f>
        <v>56.700000000000045</v>
      </c>
      <c r="G6" s="9">
        <f t="shared" si="4"/>
        <v>3.7235381958267553</v>
      </c>
      <c r="K6" s="3">
        <v>0</v>
      </c>
      <c r="L6">
        <f>K6/10</f>
        <v>0</v>
      </c>
      <c r="M6" t="e">
        <f t="shared" si="2"/>
        <v>#DIV/0!</v>
      </c>
      <c r="N6" s="74" t="e">
        <f>M6/dose!$K$46</f>
        <v>#DIV/0!</v>
      </c>
      <c r="P6">
        <f t="shared" si="3"/>
        <v>0</v>
      </c>
      <c r="Q6" s="82">
        <f>P6/dose!$P$8</f>
        <v>0</v>
      </c>
    </row>
    <row r="7" spans="1:17" x14ac:dyDescent="0.2">
      <c r="A7" s="4"/>
      <c r="E7" s="4"/>
      <c r="F7" s="4"/>
      <c r="G7" s="9"/>
    </row>
    <row r="8" spans="1:17" ht="51" x14ac:dyDescent="0.2">
      <c r="A8" s="2" t="s">
        <v>34</v>
      </c>
      <c r="B8" s="137" t="s">
        <v>20</v>
      </c>
      <c r="C8" s="137"/>
      <c r="D8" s="5" t="s">
        <v>0</v>
      </c>
      <c r="E8" s="5" t="s">
        <v>3</v>
      </c>
      <c r="F8" s="5" t="s">
        <v>1</v>
      </c>
      <c r="G8" s="8" t="s">
        <v>2</v>
      </c>
      <c r="H8" s="138" t="s">
        <v>38</v>
      </c>
      <c r="I8" s="138"/>
      <c r="J8" s="44" t="s">
        <v>39</v>
      </c>
      <c r="K8" s="44" t="s">
        <v>24</v>
      </c>
      <c r="L8" s="5" t="s">
        <v>21</v>
      </c>
      <c r="M8" s="5" t="s">
        <v>22</v>
      </c>
      <c r="N8" s="73" t="s">
        <v>23</v>
      </c>
      <c r="P8" s="5" t="s">
        <v>63</v>
      </c>
      <c r="Q8" s="81" t="s">
        <v>64</v>
      </c>
    </row>
    <row r="9" spans="1:17" x14ac:dyDescent="0.2">
      <c r="A9" s="4" t="s">
        <v>10</v>
      </c>
      <c r="B9">
        <v>46</v>
      </c>
      <c r="C9">
        <v>38</v>
      </c>
      <c r="D9">
        <f>AVERAGE(B9:C9)</f>
        <v>42</v>
      </c>
      <c r="E9" s="4">
        <v>100</v>
      </c>
      <c r="F9" s="4">
        <f>1701.7-1670.6</f>
        <v>31.100000000000136</v>
      </c>
      <c r="G9" s="9">
        <f>LOG10(D9*100*E9/F9*1000)</f>
        <v>7.1304889013710611</v>
      </c>
      <c r="H9" s="3">
        <v>52</v>
      </c>
      <c r="I9" s="3">
        <v>63</v>
      </c>
      <c r="J9" s="3">
        <v>100</v>
      </c>
      <c r="L9">
        <f>(AVERAGE(H9:I9)*J9)</f>
        <v>5750</v>
      </c>
      <c r="M9">
        <f>(D9*E9)/L9</f>
        <v>0.73043478260869565</v>
      </c>
      <c r="N9" s="74">
        <f>M9/dose!$K$46</f>
        <v>0.41739130434782606</v>
      </c>
      <c r="P9">
        <f>L9/(D9*E9)</f>
        <v>1.3690476190476191</v>
      </c>
      <c r="Q9" s="82">
        <f>P9/dose!$P$8</f>
        <v>2.3958333333333335</v>
      </c>
    </row>
    <row r="10" spans="1:17" x14ac:dyDescent="0.2">
      <c r="A10" s="4" t="s">
        <v>11</v>
      </c>
      <c r="B10">
        <v>8</v>
      </c>
      <c r="D10">
        <f t="shared" ref="D10:D13" si="5">AVERAGE(B10:C10)</f>
        <v>8</v>
      </c>
      <c r="E10" s="4">
        <v>10000</v>
      </c>
      <c r="F10" s="4">
        <f>1797.1-1758.3</f>
        <v>38.799999999999955</v>
      </c>
      <c r="G10" s="9">
        <f>LOG10(D10*100*E10/F10*1000)</f>
        <v>8.314258261397736</v>
      </c>
      <c r="H10" s="3">
        <v>3</v>
      </c>
      <c r="J10" s="3">
        <v>10000</v>
      </c>
      <c r="L10">
        <f t="shared" ref="L10:L13" si="6">(AVERAGE(H10:I10)*J10)</f>
        <v>30000</v>
      </c>
      <c r="M10">
        <f t="shared" ref="M10" si="7">(D10*E10)/L10</f>
        <v>2.6666666666666665</v>
      </c>
      <c r="N10" s="74">
        <f>M10/dose!$K$46</f>
        <v>1.5238095238095237</v>
      </c>
      <c r="P10">
        <f t="shared" ref="P10:P13" si="8">L10/(D10*E10)</f>
        <v>0.375</v>
      </c>
      <c r="Q10" s="82">
        <f>P10/dose!$P$8</f>
        <v>0.65625</v>
      </c>
    </row>
    <row r="11" spans="1:17" x14ac:dyDescent="0.2">
      <c r="A11" s="4" t="s">
        <v>8</v>
      </c>
      <c r="B11">
        <v>14</v>
      </c>
      <c r="D11">
        <f t="shared" si="5"/>
        <v>14</v>
      </c>
      <c r="E11" s="4">
        <v>10000</v>
      </c>
      <c r="F11" s="4">
        <f>1819-1793.8</f>
        <v>25.200000000000045</v>
      </c>
      <c r="G11" s="9">
        <f t="shared" ref="G11:G13" si="9">LOG10(D11*100*E11/F11*1000)</f>
        <v>8.7447274948966935</v>
      </c>
      <c r="H11" s="3">
        <v>14</v>
      </c>
      <c r="J11" s="3">
        <v>1000</v>
      </c>
      <c r="L11">
        <f t="shared" si="6"/>
        <v>14000</v>
      </c>
      <c r="M11">
        <f>(D11*E11)/L11</f>
        <v>10</v>
      </c>
      <c r="N11" s="74">
        <f>M11/dose!$K$46</f>
        <v>5.7142857142857144</v>
      </c>
      <c r="P11">
        <f t="shared" si="8"/>
        <v>0.1</v>
      </c>
      <c r="Q11" s="82">
        <f>P11/dose!$P$8</f>
        <v>0.17500000000000002</v>
      </c>
    </row>
    <row r="12" spans="1:17" x14ac:dyDescent="0.2">
      <c r="A12" s="4" t="s">
        <v>13</v>
      </c>
      <c r="B12">
        <v>40</v>
      </c>
      <c r="D12">
        <f t="shared" si="5"/>
        <v>40</v>
      </c>
      <c r="E12" s="4">
        <v>1000</v>
      </c>
      <c r="F12" s="4">
        <f>1761.5-1741.6</f>
        <v>19.900000000000091</v>
      </c>
      <c r="G12" s="9">
        <f t="shared" si="9"/>
        <v>8.3032069149182544</v>
      </c>
      <c r="H12" s="3">
        <v>17</v>
      </c>
      <c r="J12" s="3">
        <v>100</v>
      </c>
      <c r="L12">
        <f t="shared" si="6"/>
        <v>1700</v>
      </c>
      <c r="M12">
        <f t="shared" ref="M12:M13" si="10">(D12*E12)/L12</f>
        <v>23.529411764705884</v>
      </c>
      <c r="N12" s="74">
        <f>M12/dose!$K$46</f>
        <v>13.445378151260504</v>
      </c>
      <c r="P12">
        <f t="shared" si="8"/>
        <v>4.2500000000000003E-2</v>
      </c>
      <c r="Q12" s="82">
        <f>P12/dose!$P$8</f>
        <v>7.4375000000000011E-2</v>
      </c>
    </row>
    <row r="13" spans="1:17" ht="17" x14ac:dyDescent="0.2">
      <c r="A13" s="5" t="s">
        <v>12</v>
      </c>
      <c r="B13" s="7">
        <v>6</v>
      </c>
      <c r="C13" s="7"/>
      <c r="D13">
        <f t="shared" si="5"/>
        <v>6</v>
      </c>
      <c r="E13" s="5">
        <v>1</v>
      </c>
      <c r="F13" s="5">
        <f>1868.1-1803.1</f>
        <v>65</v>
      </c>
      <c r="G13" s="9">
        <f t="shared" si="9"/>
        <v>3.9652378937407882</v>
      </c>
      <c r="H13" s="3">
        <v>3</v>
      </c>
      <c r="J13" s="3">
        <v>1</v>
      </c>
      <c r="L13">
        <f t="shared" si="6"/>
        <v>3</v>
      </c>
      <c r="M13">
        <f t="shared" si="10"/>
        <v>2</v>
      </c>
      <c r="N13" s="74">
        <f>M13/dose!$K$46</f>
        <v>1.1428571428571428</v>
      </c>
      <c r="P13">
        <f t="shared" si="8"/>
        <v>0.5</v>
      </c>
      <c r="Q13" s="82">
        <f>P13/dose!$P$8</f>
        <v>0.875</v>
      </c>
    </row>
    <row r="14" spans="1:17" x14ac:dyDescent="0.2">
      <c r="A14" s="4"/>
      <c r="E14" s="4"/>
      <c r="F14" s="4"/>
      <c r="G14" s="9"/>
    </row>
    <row r="15" spans="1:17" ht="51" x14ac:dyDescent="0.2">
      <c r="A15" s="2" t="s">
        <v>35</v>
      </c>
      <c r="B15" s="137" t="s">
        <v>20</v>
      </c>
      <c r="C15" s="137"/>
      <c r="D15" s="5" t="s">
        <v>0</v>
      </c>
      <c r="E15" s="5" t="s">
        <v>3</v>
      </c>
      <c r="F15" s="5" t="s">
        <v>1</v>
      </c>
      <c r="G15" s="8" t="s">
        <v>2</v>
      </c>
      <c r="H15" s="138" t="s">
        <v>38</v>
      </c>
      <c r="I15" s="138"/>
      <c r="J15" s="44" t="s">
        <v>39</v>
      </c>
      <c r="K15" s="44" t="s">
        <v>24</v>
      </c>
      <c r="L15" s="5" t="s">
        <v>21</v>
      </c>
      <c r="M15" s="5" t="s">
        <v>22</v>
      </c>
      <c r="N15" s="73" t="s">
        <v>23</v>
      </c>
      <c r="P15" s="5" t="s">
        <v>63</v>
      </c>
      <c r="Q15" s="81" t="s">
        <v>64</v>
      </c>
    </row>
    <row r="16" spans="1:17" x14ac:dyDescent="0.2">
      <c r="A16" s="4" t="s">
        <v>10</v>
      </c>
      <c r="B16">
        <v>22</v>
      </c>
      <c r="C16">
        <v>25</v>
      </c>
      <c r="D16">
        <f>AVERAGE(B16:C16)</f>
        <v>23.5</v>
      </c>
      <c r="E16" s="4">
        <v>1000</v>
      </c>
      <c r="F16" s="4">
        <f>1652.2-1632.8</f>
        <v>19.400000000000091</v>
      </c>
      <c r="G16" s="9">
        <f>LOG10(D16*100*E16/F16*1000)</f>
        <v>8.0832661323415085</v>
      </c>
      <c r="H16" s="3">
        <v>10</v>
      </c>
      <c r="J16" s="3">
        <v>10</v>
      </c>
      <c r="L16">
        <f>(AVERAGE(H16:I16)*J16)</f>
        <v>100</v>
      </c>
      <c r="M16">
        <f>(D16*E16)/L16</f>
        <v>235</v>
      </c>
      <c r="N16" s="74">
        <f>M16/dose!$K$46</f>
        <v>134.28571428571428</v>
      </c>
      <c r="P16">
        <f>L16/(D16*E16)</f>
        <v>4.2553191489361703E-3</v>
      </c>
      <c r="Q16" s="82">
        <f>P16/dose!$P$8</f>
        <v>7.4468085106382982E-3</v>
      </c>
    </row>
    <row r="17" spans="1:17" x14ac:dyDescent="0.2">
      <c r="A17" s="4" t="s">
        <v>11</v>
      </c>
      <c r="B17">
        <v>30</v>
      </c>
      <c r="D17">
        <f t="shared" ref="D17:D20" si="11">AVERAGE(B17:C17)</f>
        <v>30</v>
      </c>
      <c r="E17" s="4">
        <v>10000</v>
      </c>
      <c r="F17" s="4">
        <f>1672.2-1635.9</f>
        <v>36.299999999999955</v>
      </c>
      <c r="G17" s="9">
        <f>LOG10(D17*100*E17/F17*1000)</f>
        <v>8.9172146296835511</v>
      </c>
      <c r="H17" s="3">
        <v>17</v>
      </c>
      <c r="J17" s="3">
        <v>1</v>
      </c>
      <c r="L17">
        <f t="shared" ref="L17:L18" si="12">(AVERAGE(H17:I17)*J17)</f>
        <v>17</v>
      </c>
      <c r="M17">
        <f t="shared" ref="M17" si="13">(D17*E17)/L17</f>
        <v>17647.058823529413</v>
      </c>
      <c r="N17" s="74">
        <f>M17/dose!$K$46</f>
        <v>10084.033613445379</v>
      </c>
      <c r="P17">
        <f t="shared" ref="P17:P20" si="14">L17/(D17*E17)</f>
        <v>5.6666666666666664E-5</v>
      </c>
      <c r="Q17" s="82">
        <f>P17/dose!$P$8</f>
        <v>9.9166666666666674E-5</v>
      </c>
    </row>
    <row r="18" spans="1:17" x14ac:dyDescent="0.2">
      <c r="A18" s="4" t="s">
        <v>8</v>
      </c>
      <c r="B18">
        <v>22</v>
      </c>
      <c r="D18">
        <f t="shared" si="11"/>
        <v>22</v>
      </c>
      <c r="E18" s="4">
        <v>10000</v>
      </c>
      <c r="F18" s="4">
        <f>1832.2-1801.6</f>
        <v>30.600000000000136</v>
      </c>
      <c r="G18" s="9">
        <f t="shared" ref="G18:G20" si="15">LOG10(D18*100*E18/F18*1000)</f>
        <v>8.8567012543406243</v>
      </c>
      <c r="H18" s="3">
        <v>6</v>
      </c>
      <c r="J18" s="3">
        <v>1</v>
      </c>
      <c r="L18">
        <f t="shared" si="12"/>
        <v>6</v>
      </c>
      <c r="M18">
        <f>(D18*E18)/L18</f>
        <v>36666.666666666664</v>
      </c>
      <c r="N18" s="74">
        <f>M18/dose!$K$46</f>
        <v>20952.38095238095</v>
      </c>
      <c r="P18">
        <f t="shared" si="14"/>
        <v>2.7272727272727273E-5</v>
      </c>
      <c r="Q18" s="82">
        <f>P18/dose!$P$8</f>
        <v>4.772727272727273E-5</v>
      </c>
    </row>
    <row r="19" spans="1:17" x14ac:dyDescent="0.2">
      <c r="A19" s="4" t="s">
        <v>13</v>
      </c>
      <c r="B19">
        <v>10</v>
      </c>
      <c r="D19">
        <f t="shared" si="11"/>
        <v>10</v>
      </c>
      <c r="E19" s="4">
        <v>10000</v>
      </c>
      <c r="F19" s="4">
        <f>1856.8-1733.6</f>
        <v>123.20000000000005</v>
      </c>
      <c r="G19" s="9">
        <f t="shared" si="15"/>
        <v>7.9093892921715936</v>
      </c>
      <c r="K19" s="3">
        <f>211*4</f>
        <v>844</v>
      </c>
      <c r="L19">
        <f>K19/10</f>
        <v>84.4</v>
      </c>
      <c r="M19">
        <f t="shared" ref="M19:M20" si="16">(D19*E19)/L19</f>
        <v>1184.8341232227488</v>
      </c>
      <c r="N19" s="74">
        <f>M19/dose!$K$46</f>
        <v>677.04807041299932</v>
      </c>
      <c r="P19">
        <f t="shared" si="14"/>
        <v>8.4400000000000002E-4</v>
      </c>
      <c r="Q19" s="82">
        <f>P19/dose!$P$8</f>
        <v>1.4770000000000002E-3</v>
      </c>
    </row>
    <row r="20" spans="1:17" ht="17" x14ac:dyDescent="0.2">
      <c r="A20" s="5" t="s">
        <v>12</v>
      </c>
      <c r="B20" s="7">
        <v>2</v>
      </c>
      <c r="C20" s="7"/>
      <c r="D20">
        <f t="shared" si="11"/>
        <v>2</v>
      </c>
      <c r="E20" s="5">
        <v>1</v>
      </c>
      <c r="F20" s="5">
        <f>1801-1729</f>
        <v>72</v>
      </c>
      <c r="G20" s="9">
        <f t="shared" si="15"/>
        <v>3.4436974992327127</v>
      </c>
      <c r="H20" s="3">
        <v>0</v>
      </c>
      <c r="L20">
        <f>K20/10</f>
        <v>0</v>
      </c>
      <c r="M20" t="e">
        <f t="shared" si="16"/>
        <v>#DIV/0!</v>
      </c>
      <c r="N20" s="74" t="e">
        <f>M20/dose!$K$46</f>
        <v>#DIV/0!</v>
      </c>
      <c r="P20">
        <f t="shared" si="14"/>
        <v>0</v>
      </c>
      <c r="Q20" s="82">
        <f>P20/dose!$P$8</f>
        <v>0</v>
      </c>
    </row>
    <row r="21" spans="1:17" x14ac:dyDescent="0.2">
      <c r="A21" s="4"/>
      <c r="E21" s="4"/>
      <c r="F21" s="4"/>
      <c r="G21" s="9"/>
    </row>
    <row r="22" spans="1:17" ht="51" x14ac:dyDescent="0.2">
      <c r="A22" s="2" t="s">
        <v>36</v>
      </c>
      <c r="B22" s="137" t="s">
        <v>20</v>
      </c>
      <c r="C22" s="137"/>
      <c r="D22" s="5" t="s">
        <v>0</v>
      </c>
      <c r="E22" s="5" t="s">
        <v>3</v>
      </c>
      <c r="F22" s="5" t="s">
        <v>1</v>
      </c>
      <c r="G22" s="8" t="s">
        <v>2</v>
      </c>
      <c r="H22" s="138" t="s">
        <v>38</v>
      </c>
      <c r="I22" s="138"/>
      <c r="J22" s="44" t="s">
        <v>39</v>
      </c>
      <c r="K22" s="44" t="s">
        <v>24</v>
      </c>
      <c r="L22" s="5" t="s">
        <v>21</v>
      </c>
      <c r="M22" s="5" t="s">
        <v>22</v>
      </c>
      <c r="N22" s="73" t="s">
        <v>23</v>
      </c>
      <c r="P22" s="5" t="s">
        <v>63</v>
      </c>
      <c r="Q22" s="81" t="s">
        <v>64</v>
      </c>
    </row>
    <row r="23" spans="1:17" x14ac:dyDescent="0.2">
      <c r="A23" s="4" t="s">
        <v>10</v>
      </c>
      <c r="B23">
        <v>7</v>
      </c>
      <c r="C23">
        <v>11</v>
      </c>
      <c r="D23">
        <f>AVERAGE(B23:C23)</f>
        <v>9</v>
      </c>
      <c r="E23" s="4">
        <v>1000</v>
      </c>
      <c r="F23" s="4">
        <f>1665.5-1632.5</f>
        <v>33</v>
      </c>
      <c r="G23" s="9">
        <f>LOG10(D23*100*E23/F23*1000)</f>
        <v>7.4357285695614372</v>
      </c>
      <c r="H23" s="3">
        <v>15</v>
      </c>
      <c r="J23" s="3">
        <v>10</v>
      </c>
      <c r="L23">
        <f>(AVERAGE(H23:I23)*J23)</f>
        <v>150</v>
      </c>
      <c r="M23">
        <f>(D23*E23)/L23</f>
        <v>60</v>
      </c>
      <c r="N23" s="74">
        <f>M23/dose!$K$46</f>
        <v>34.285714285714285</v>
      </c>
      <c r="P23">
        <f>L23/(D23*E23)</f>
        <v>1.6666666666666666E-2</v>
      </c>
      <c r="Q23" s="82">
        <f>P23/dose!$P$8</f>
        <v>2.9166666666666667E-2</v>
      </c>
    </row>
    <row r="24" spans="1:17" ht="16" customHeight="1" x14ac:dyDescent="0.2">
      <c r="A24" s="4" t="s">
        <v>11</v>
      </c>
      <c r="B24">
        <v>21</v>
      </c>
      <c r="D24">
        <f t="shared" ref="D24:D27" si="17">AVERAGE(B24:C24)</f>
        <v>21</v>
      </c>
      <c r="E24" s="4">
        <v>10000</v>
      </c>
      <c r="F24" s="4">
        <f>1733.5-1701.8</f>
        <v>31.700000000000045</v>
      </c>
      <c r="G24" s="9">
        <f>LOG10(D24*100*E24/F24*1000)</f>
        <v>8.8211600325161665</v>
      </c>
      <c r="H24" s="3">
        <v>23</v>
      </c>
      <c r="J24" s="3">
        <v>10</v>
      </c>
      <c r="L24">
        <f t="shared" ref="L24:L25" si="18">(AVERAGE(H24:I24)*J24)</f>
        <v>230</v>
      </c>
      <c r="M24">
        <f t="shared" ref="M24" si="19">(D24*E24)/L24</f>
        <v>913.04347826086962</v>
      </c>
      <c r="N24" s="74">
        <f>M24/dose!$K$46</f>
        <v>521.73913043478262</v>
      </c>
      <c r="P24">
        <f t="shared" ref="P24:P27" si="20">L24/(D24*E24)</f>
        <v>1.0952380952380953E-3</v>
      </c>
      <c r="Q24" s="82">
        <f>P24/dose!$P$8</f>
        <v>1.9166666666666668E-3</v>
      </c>
    </row>
    <row r="25" spans="1:17" ht="16" customHeight="1" x14ac:dyDescent="0.2">
      <c r="A25" s="4" t="s">
        <v>8</v>
      </c>
      <c r="B25">
        <v>19</v>
      </c>
      <c r="D25">
        <f t="shared" si="17"/>
        <v>19</v>
      </c>
      <c r="E25" s="4">
        <v>10000</v>
      </c>
      <c r="F25" s="4">
        <f>1790.3-1735.5</f>
        <v>54.799999999999955</v>
      </c>
      <c r="G25" s="9">
        <f t="shared" ref="G25:G27" si="21">LOG10(D25*100*E25/F25*1000)</f>
        <v>8.5399730424684606</v>
      </c>
      <c r="H25" s="3">
        <v>48</v>
      </c>
      <c r="J25" s="3">
        <v>1</v>
      </c>
      <c r="L25">
        <f t="shared" si="18"/>
        <v>48</v>
      </c>
      <c r="M25">
        <f>(D25*E25)/L25</f>
        <v>3958.3333333333335</v>
      </c>
      <c r="N25" s="74">
        <f>M25/dose!$K$46</f>
        <v>2261.9047619047619</v>
      </c>
      <c r="P25">
        <f t="shared" si="20"/>
        <v>2.5263157894736841E-4</v>
      </c>
      <c r="Q25" s="82">
        <f>P25/dose!$P$8</f>
        <v>4.4210526315789476E-4</v>
      </c>
    </row>
    <row r="26" spans="1:17" x14ac:dyDescent="0.2">
      <c r="A26" s="4" t="s">
        <v>13</v>
      </c>
      <c r="B26">
        <v>22</v>
      </c>
      <c r="D26">
        <f t="shared" si="17"/>
        <v>22</v>
      </c>
      <c r="E26" s="4">
        <v>100</v>
      </c>
      <c r="F26" s="4">
        <f>1763.5-1728.5</f>
        <v>35</v>
      </c>
      <c r="G26" s="9">
        <f t="shared" si="21"/>
        <v>6.7983546364719309</v>
      </c>
      <c r="K26" s="3">
        <v>8</v>
      </c>
      <c r="L26">
        <f>K26/10</f>
        <v>0.8</v>
      </c>
      <c r="M26">
        <f t="shared" ref="M26:M27" si="22">(D26*E26)/L26</f>
        <v>2750</v>
      </c>
      <c r="N26" s="74">
        <f>M26/dose!$K$46</f>
        <v>1571.4285714285713</v>
      </c>
      <c r="P26">
        <f t="shared" si="20"/>
        <v>3.6363636363636367E-4</v>
      </c>
      <c r="Q26" s="82">
        <f>P26/dose!$P$8</f>
        <v>6.3636363636363641E-4</v>
      </c>
    </row>
    <row r="27" spans="1:17" ht="17" x14ac:dyDescent="0.2">
      <c r="A27" s="5" t="s">
        <v>12</v>
      </c>
      <c r="B27" s="7">
        <v>0</v>
      </c>
      <c r="C27" s="7"/>
      <c r="D27">
        <f t="shared" si="17"/>
        <v>0</v>
      </c>
      <c r="E27" s="5">
        <v>1</v>
      </c>
      <c r="F27" s="5">
        <f>1800.4-1729.8</f>
        <v>70.600000000000136</v>
      </c>
      <c r="G27" s="9" t="e">
        <f t="shared" si="21"/>
        <v>#NUM!</v>
      </c>
      <c r="K27" s="3">
        <v>0</v>
      </c>
      <c r="L27">
        <f>K27/10</f>
        <v>0</v>
      </c>
      <c r="M27" t="e">
        <f t="shared" si="22"/>
        <v>#DIV/0!</v>
      </c>
      <c r="N27" s="74" t="e">
        <f>M27/dose!$K$46</f>
        <v>#DIV/0!</v>
      </c>
      <c r="P27" t="e">
        <f t="shared" si="20"/>
        <v>#DIV/0!</v>
      </c>
      <c r="Q27" s="82" t="e">
        <f>P27/dose!$P$8</f>
        <v>#DIV/0!</v>
      </c>
    </row>
    <row r="28" spans="1:17" x14ac:dyDescent="0.2">
      <c r="A28" s="4"/>
      <c r="E28" s="4"/>
      <c r="F28" s="4"/>
      <c r="G28" s="9"/>
    </row>
    <row r="29" spans="1:17" ht="51" x14ac:dyDescent="0.2">
      <c r="A29" s="2" t="s">
        <v>37</v>
      </c>
      <c r="B29" s="137" t="s">
        <v>20</v>
      </c>
      <c r="C29" s="137"/>
      <c r="D29" s="5" t="s">
        <v>0</v>
      </c>
      <c r="E29" s="5" t="s">
        <v>3</v>
      </c>
      <c r="F29" s="5" t="s">
        <v>1</v>
      </c>
      <c r="G29" s="8" t="s">
        <v>2</v>
      </c>
      <c r="H29" s="138" t="s">
        <v>38</v>
      </c>
      <c r="I29" s="138"/>
      <c r="J29" s="44" t="s">
        <v>39</v>
      </c>
      <c r="K29" s="44" t="s">
        <v>24</v>
      </c>
      <c r="L29" s="5" t="s">
        <v>21</v>
      </c>
      <c r="M29" s="5" t="s">
        <v>22</v>
      </c>
      <c r="N29" s="73" t="s">
        <v>23</v>
      </c>
      <c r="P29" s="5" t="s">
        <v>63</v>
      </c>
      <c r="Q29" s="81" t="s">
        <v>64</v>
      </c>
    </row>
    <row r="30" spans="1:17" x14ac:dyDescent="0.2">
      <c r="A30" s="4" t="s">
        <v>10</v>
      </c>
      <c r="B30">
        <v>36</v>
      </c>
      <c r="C30">
        <v>42</v>
      </c>
      <c r="D30">
        <f>AVERAGE(B30:C30)</f>
        <v>39</v>
      </c>
      <c r="E30" s="4">
        <v>1000</v>
      </c>
      <c r="F30" s="4">
        <f>1768.7-1721.4</f>
        <v>47.299999999999955</v>
      </c>
      <c r="G30" s="9">
        <f>LOG10(D30*100*E30/F30*1000)</f>
        <v>7.916203466288688</v>
      </c>
      <c r="H30" s="3">
        <v>0</v>
      </c>
      <c r="J30" s="3">
        <v>1</v>
      </c>
      <c r="L30">
        <f>(AVERAGE(H30:I30)*J30)</f>
        <v>0</v>
      </c>
      <c r="M30" t="e">
        <f>(D30*E30)/L30</f>
        <v>#DIV/0!</v>
      </c>
      <c r="N30" s="74" t="e">
        <f>M30/dose!$K$46</f>
        <v>#DIV/0!</v>
      </c>
      <c r="P30">
        <f>L30/(D30*E30)</f>
        <v>0</v>
      </c>
      <c r="Q30" s="82">
        <f>P30/dose!$P$8</f>
        <v>0</v>
      </c>
    </row>
    <row r="31" spans="1:17" x14ac:dyDescent="0.2">
      <c r="A31" s="4" t="s">
        <v>11</v>
      </c>
      <c r="B31">
        <v>10</v>
      </c>
      <c r="D31">
        <f t="shared" ref="D31:D34" si="23">AVERAGE(B31:C31)</f>
        <v>10</v>
      </c>
      <c r="E31" s="4">
        <v>10000</v>
      </c>
      <c r="F31" s="4">
        <f>1825.6-1734.9</f>
        <v>90.699999999999818</v>
      </c>
      <c r="G31" s="9">
        <f>LOG10(D31*100*E31/F31*1000)</f>
        <v>8.0423927129399058</v>
      </c>
      <c r="H31" s="3">
        <v>1</v>
      </c>
      <c r="J31" s="3">
        <v>1</v>
      </c>
      <c r="L31">
        <f t="shared" ref="L31:L32" si="24">(AVERAGE(H31:I31)*J31)</f>
        <v>1</v>
      </c>
      <c r="M31">
        <f t="shared" ref="M31" si="25">(D31*E31)/L31</f>
        <v>100000</v>
      </c>
      <c r="N31" s="74">
        <f>M31/dose!$K$46</f>
        <v>57142.857142857145</v>
      </c>
      <c r="P31">
        <f t="shared" ref="P31:P34" si="26">L31/(D31*E31)</f>
        <v>1.0000000000000001E-5</v>
      </c>
      <c r="Q31" s="82">
        <f>P31/dose!$P$8</f>
        <v>1.7500000000000002E-5</v>
      </c>
    </row>
    <row r="32" spans="1:17" x14ac:dyDescent="0.2">
      <c r="A32" s="4" t="s">
        <v>8</v>
      </c>
      <c r="B32">
        <v>10</v>
      </c>
      <c r="D32">
        <f t="shared" si="23"/>
        <v>10</v>
      </c>
      <c r="E32" s="4">
        <v>1000</v>
      </c>
      <c r="F32" s="4">
        <f>1909.4-1820.1</f>
        <v>89.300000000000182</v>
      </c>
      <c r="G32" s="9">
        <f t="shared" ref="G32:G34" si="27">LOG10(D32*100*E32/F32*1000)</f>
        <v>7.0491485411114523</v>
      </c>
      <c r="H32" s="3">
        <v>0</v>
      </c>
      <c r="J32" s="3">
        <v>1</v>
      </c>
      <c r="L32">
        <f t="shared" si="24"/>
        <v>0</v>
      </c>
      <c r="M32" t="e">
        <f>(D32*E32)/L32</f>
        <v>#DIV/0!</v>
      </c>
      <c r="N32" s="74" t="e">
        <f>M32/dose!$K$46</f>
        <v>#DIV/0!</v>
      </c>
      <c r="P32">
        <f t="shared" si="26"/>
        <v>0</v>
      </c>
      <c r="Q32" s="82">
        <f>P32/dose!$P$8</f>
        <v>0</v>
      </c>
    </row>
    <row r="33" spans="1:17" x14ac:dyDescent="0.2">
      <c r="A33" s="4" t="s">
        <v>13</v>
      </c>
      <c r="B33">
        <v>28</v>
      </c>
      <c r="D33">
        <f t="shared" si="23"/>
        <v>28</v>
      </c>
      <c r="E33" s="4">
        <v>10</v>
      </c>
      <c r="F33" s="4">
        <f>1894-1865.1</f>
        <v>28.900000000000091</v>
      </c>
      <c r="G33" s="9">
        <f t="shared" si="27"/>
        <v>5.9862601885856703</v>
      </c>
      <c r="H33" s="3">
        <v>0</v>
      </c>
      <c r="J33" s="3">
        <v>1</v>
      </c>
      <c r="L33">
        <f>K33/10</f>
        <v>0</v>
      </c>
      <c r="M33" t="e">
        <f t="shared" ref="M33:M34" si="28">(D33*E33)/L33</f>
        <v>#DIV/0!</v>
      </c>
      <c r="N33" s="74" t="e">
        <f>M33/dose!$K$46</f>
        <v>#DIV/0!</v>
      </c>
      <c r="P33">
        <f t="shared" si="26"/>
        <v>0</v>
      </c>
      <c r="Q33" s="82">
        <f>P33/dose!$P$8</f>
        <v>0</v>
      </c>
    </row>
    <row r="34" spans="1:17" ht="17" x14ac:dyDescent="0.2">
      <c r="A34" s="5" t="s">
        <v>12</v>
      </c>
      <c r="B34" s="7">
        <v>2</v>
      </c>
      <c r="C34" s="7"/>
      <c r="D34">
        <f t="shared" si="23"/>
        <v>2</v>
      </c>
      <c r="E34" s="5">
        <v>1</v>
      </c>
      <c r="F34" s="5">
        <f>1850.1-1735.1</f>
        <v>115</v>
      </c>
      <c r="G34" s="9">
        <f t="shared" si="27"/>
        <v>3.2403321553103694</v>
      </c>
      <c r="K34" s="3">
        <v>1</v>
      </c>
      <c r="L34">
        <f>K34/10</f>
        <v>0.1</v>
      </c>
      <c r="M34">
        <f t="shared" si="28"/>
        <v>20</v>
      </c>
      <c r="N34" s="74">
        <f>M34/dose!$K$46</f>
        <v>11.428571428571429</v>
      </c>
      <c r="P34">
        <f t="shared" si="26"/>
        <v>0.05</v>
      </c>
      <c r="Q34" s="82">
        <f>P34/dose!$P$8</f>
        <v>8.7500000000000008E-2</v>
      </c>
    </row>
    <row r="35" spans="1:17" s="25" customFormat="1" x14ac:dyDescent="0.2">
      <c r="A35" s="24"/>
      <c r="E35" s="24"/>
      <c r="F35" s="24"/>
      <c r="G35" s="26"/>
      <c r="H35" s="45"/>
      <c r="I35" s="45"/>
      <c r="J35" s="45"/>
      <c r="K35" s="45"/>
      <c r="N35" s="75"/>
      <c r="Q35" s="83"/>
    </row>
    <row r="36" spans="1:17" ht="68" x14ac:dyDescent="0.2">
      <c r="A36" s="2" t="s">
        <v>42</v>
      </c>
      <c r="B36" s="137" t="s">
        <v>40</v>
      </c>
      <c r="C36" s="137"/>
      <c r="D36" s="5" t="s">
        <v>0</v>
      </c>
      <c r="E36" s="5" t="s">
        <v>3</v>
      </c>
      <c r="F36" s="5" t="s">
        <v>1</v>
      </c>
      <c r="G36" s="8" t="s">
        <v>2</v>
      </c>
      <c r="H36" s="138" t="s">
        <v>41</v>
      </c>
      <c r="I36" s="138"/>
      <c r="J36" s="44" t="s">
        <v>39</v>
      </c>
      <c r="K36" s="44" t="s">
        <v>47</v>
      </c>
      <c r="L36" s="5" t="s">
        <v>21</v>
      </c>
      <c r="M36" s="5" t="s">
        <v>22</v>
      </c>
      <c r="N36" s="73" t="s">
        <v>23</v>
      </c>
      <c r="P36" s="140" t="s">
        <v>65</v>
      </c>
      <c r="Q36" s="144" t="s">
        <v>66</v>
      </c>
    </row>
    <row r="37" spans="1:17" x14ac:dyDescent="0.2">
      <c r="A37" s="4" t="s">
        <v>10</v>
      </c>
      <c r="B37">
        <v>21</v>
      </c>
      <c r="C37">
        <v>20</v>
      </c>
      <c r="D37">
        <f>AVERAGE(B37:C37)</f>
        <v>20.5</v>
      </c>
      <c r="E37" s="4">
        <v>1000</v>
      </c>
      <c r="F37" s="4">
        <f>1663.5-1642.7</f>
        <v>20.799999999999955</v>
      </c>
      <c r="G37" s="9">
        <f>LOG10(D37*100*E37/F37*1000)</f>
        <v>7.993690526092994</v>
      </c>
      <c r="H37" s="3">
        <v>24</v>
      </c>
      <c r="J37" s="3">
        <v>1</v>
      </c>
      <c r="L37">
        <f>(AVERAGE(H37:I37)*J37)</f>
        <v>24</v>
      </c>
      <c r="M37">
        <f>L37/(D37*E37)</f>
        <v>1.1707317073170731E-3</v>
      </c>
      <c r="N37" s="74">
        <f>M37/dose!$K$49</f>
        <v>2.3414634146341463E-3</v>
      </c>
      <c r="P37">
        <f>(D37*E37)/L37</f>
        <v>854.16666666666663</v>
      </c>
      <c r="Q37" s="145">
        <f>P37/dose!$P$17</f>
        <v>414.14141414141415</v>
      </c>
    </row>
    <row r="38" spans="1:17" x14ac:dyDescent="0.2">
      <c r="A38" s="4" t="s">
        <v>11</v>
      </c>
      <c r="B38">
        <v>13</v>
      </c>
      <c r="D38">
        <f t="shared" ref="D38:D41" si="29">AVERAGE(B38:C38)</f>
        <v>13</v>
      </c>
      <c r="E38" s="4">
        <v>10000</v>
      </c>
      <c r="F38" s="4">
        <f>1710.9-1686.9</f>
        <v>24</v>
      </c>
      <c r="G38" s="9">
        <f>LOG10(D38*100*E38/F38*1000)</f>
        <v>8.7337321105952306</v>
      </c>
      <c r="H38" s="3">
        <v>52</v>
      </c>
      <c r="J38" s="3">
        <v>1</v>
      </c>
      <c r="L38">
        <f t="shared" ref="L38:L39" si="30">(AVERAGE(H38:I38)*J38)</f>
        <v>52</v>
      </c>
      <c r="M38">
        <f t="shared" ref="M38:M41" si="31">L38/(D38*E38)</f>
        <v>4.0000000000000002E-4</v>
      </c>
      <c r="N38" s="74">
        <f>M38/dose!$K$49</f>
        <v>8.0000000000000004E-4</v>
      </c>
      <c r="P38">
        <f t="shared" ref="P38:P41" si="32">(D38*E38)/L38</f>
        <v>2500</v>
      </c>
      <c r="Q38" s="145">
        <f>P38/dose!$P$17</f>
        <v>1212.121212121212</v>
      </c>
    </row>
    <row r="39" spans="1:17" x14ac:dyDescent="0.2">
      <c r="A39" s="4" t="s">
        <v>8</v>
      </c>
      <c r="B39">
        <v>51</v>
      </c>
      <c r="D39">
        <f t="shared" si="29"/>
        <v>51</v>
      </c>
      <c r="E39" s="4">
        <v>1000</v>
      </c>
      <c r="F39" s="4">
        <f>1857.4-1796.5</f>
        <v>60.900000000000091</v>
      </c>
      <c r="G39" s="9">
        <f t="shared" ref="G39:G41" si="33">LOG10(D39*100*E39/F39*1000)</f>
        <v>7.9229528834650607</v>
      </c>
      <c r="H39" s="3">
        <v>20</v>
      </c>
      <c r="J39" s="3">
        <v>1</v>
      </c>
      <c r="L39">
        <f t="shared" si="30"/>
        <v>20</v>
      </c>
      <c r="M39">
        <f>L39/(D39*E39)</f>
        <v>3.9215686274509802E-4</v>
      </c>
      <c r="N39" s="74">
        <f>M39/dose!$K$49</f>
        <v>7.8431372549019605E-4</v>
      </c>
      <c r="P39">
        <f t="shared" si="32"/>
        <v>2550</v>
      </c>
      <c r="Q39" s="145">
        <f>P39/dose!$P$17</f>
        <v>1236.3636363636363</v>
      </c>
    </row>
    <row r="40" spans="1:17" x14ac:dyDescent="0.2">
      <c r="A40" s="4" t="s">
        <v>13</v>
      </c>
      <c r="B40">
        <v>16</v>
      </c>
      <c r="D40">
        <f t="shared" si="29"/>
        <v>16</v>
      </c>
      <c r="E40" s="4">
        <v>100</v>
      </c>
      <c r="F40" s="4">
        <f>1859-1800.6</f>
        <v>58.400000000000091</v>
      </c>
      <c r="G40" s="9">
        <f t="shared" si="33"/>
        <v>6.4377071355435245</v>
      </c>
      <c r="K40" s="3">
        <v>2</v>
      </c>
      <c r="L40">
        <f>K40/10</f>
        <v>0.2</v>
      </c>
      <c r="M40">
        <f t="shared" si="31"/>
        <v>1.25E-4</v>
      </c>
      <c r="N40" s="74">
        <f>M40/dose!$K$49</f>
        <v>2.5000000000000001E-4</v>
      </c>
      <c r="P40">
        <f t="shared" si="32"/>
        <v>8000</v>
      </c>
      <c r="Q40" s="145">
        <f>P40/dose!$P$17</f>
        <v>3878.787878787879</v>
      </c>
    </row>
    <row r="41" spans="1:17" ht="17" x14ac:dyDescent="0.2">
      <c r="A41" s="5" t="s">
        <v>12</v>
      </c>
      <c r="B41" s="7">
        <v>32</v>
      </c>
      <c r="C41" s="7"/>
      <c r="D41">
        <f t="shared" si="29"/>
        <v>32</v>
      </c>
      <c r="E41" s="5">
        <v>1</v>
      </c>
      <c r="F41" s="5">
        <f>1763.9-1658.3</f>
        <v>105.60000000000014</v>
      </c>
      <c r="G41" s="9">
        <f t="shared" si="33"/>
        <v>4.481486060122112</v>
      </c>
      <c r="K41" s="3">
        <v>1</v>
      </c>
      <c r="L41">
        <f>K41/10</f>
        <v>0.1</v>
      </c>
      <c r="M41">
        <f t="shared" si="31"/>
        <v>3.1250000000000002E-3</v>
      </c>
      <c r="N41" s="74">
        <f>M41/dose!$K$49</f>
        <v>6.2500000000000003E-3</v>
      </c>
      <c r="P41">
        <f t="shared" si="32"/>
        <v>320</v>
      </c>
      <c r="Q41" s="145">
        <f>P41/dose!$P$17</f>
        <v>155.15151515151516</v>
      </c>
    </row>
    <row r="42" spans="1:17" x14ac:dyDescent="0.2">
      <c r="A42" s="4"/>
      <c r="E42" s="4"/>
      <c r="F42" s="4"/>
      <c r="G42" s="9"/>
      <c r="Q42" s="145"/>
    </row>
    <row r="43" spans="1:17" ht="51" customHeight="1" x14ac:dyDescent="0.2">
      <c r="A43" s="2" t="s">
        <v>43</v>
      </c>
      <c r="B43" s="137" t="s">
        <v>40</v>
      </c>
      <c r="C43" s="137"/>
      <c r="D43" s="5" t="s">
        <v>0</v>
      </c>
      <c r="E43" s="5" t="s">
        <v>3</v>
      </c>
      <c r="F43" s="5" t="s">
        <v>1</v>
      </c>
      <c r="G43" s="8" t="s">
        <v>2</v>
      </c>
      <c r="H43" s="138" t="s">
        <v>41</v>
      </c>
      <c r="I43" s="138"/>
      <c r="J43" s="44" t="s">
        <v>39</v>
      </c>
      <c r="K43" s="44" t="s">
        <v>47</v>
      </c>
      <c r="L43" s="5" t="s">
        <v>21</v>
      </c>
      <c r="M43" s="5" t="s">
        <v>22</v>
      </c>
      <c r="N43" s="73" t="s">
        <v>23</v>
      </c>
      <c r="P43" s="140" t="s">
        <v>65</v>
      </c>
      <c r="Q43" s="144" t="s">
        <v>66</v>
      </c>
    </row>
    <row r="44" spans="1:17" x14ac:dyDescent="0.2">
      <c r="A44" s="4" t="s">
        <v>10</v>
      </c>
      <c r="B44">
        <v>29</v>
      </c>
      <c r="C44">
        <v>32</v>
      </c>
      <c r="D44">
        <f>AVERAGE(B44:C44)</f>
        <v>30.5</v>
      </c>
      <c r="E44" s="4">
        <v>1000</v>
      </c>
      <c r="F44" s="4">
        <f>1712-1692.3</f>
        <v>19.700000000000045</v>
      </c>
      <c r="G44" s="9">
        <f>LOG10(D44*100*E44/F44*1000)</f>
        <v>8.1898336131851917</v>
      </c>
      <c r="H44" s="3">
        <v>45</v>
      </c>
      <c r="I44" s="3">
        <v>61</v>
      </c>
      <c r="J44" s="3">
        <v>1000</v>
      </c>
      <c r="L44">
        <f>(AVERAGE(H44:I44)*J44)</f>
        <v>53000</v>
      </c>
      <c r="M44">
        <f>L44/(D44*E44)</f>
        <v>1.7377049180327868</v>
      </c>
      <c r="N44" s="74">
        <f>M44/dose!$K$49</f>
        <v>3.4754098360655736</v>
      </c>
      <c r="P44">
        <f>(D44*E44)/L44</f>
        <v>0.57547169811320753</v>
      </c>
      <c r="Q44" s="145">
        <f>P44/dose!$P$17</f>
        <v>0.27901658090337333</v>
      </c>
    </row>
    <row r="45" spans="1:17" x14ac:dyDescent="0.2">
      <c r="A45" s="4" t="s">
        <v>11</v>
      </c>
      <c r="B45">
        <v>25</v>
      </c>
      <c r="D45">
        <f>AVERAGE(B45:C45)</f>
        <v>25</v>
      </c>
      <c r="E45" s="4">
        <v>10000</v>
      </c>
      <c r="F45" s="4">
        <f>1734.2-1692.5</f>
        <v>41.700000000000045</v>
      </c>
      <c r="G45" s="9">
        <f>LOG10(D45*100*E45/F45*1000)</f>
        <v>8.7778039536982799</v>
      </c>
      <c r="H45" s="3">
        <v>31</v>
      </c>
      <c r="J45" s="3">
        <v>10000</v>
      </c>
      <c r="L45">
        <f t="shared" ref="L45:L47" si="34">(AVERAGE(H45:I45)*J45)</f>
        <v>310000</v>
      </c>
      <c r="M45">
        <f t="shared" ref="M45" si="35">L45/(D45*E45)</f>
        <v>1.24</v>
      </c>
      <c r="N45" s="74">
        <f>M45/dose!$K$49</f>
        <v>2.48</v>
      </c>
      <c r="P45">
        <f t="shared" ref="P45:P48" si="36">(D45*E45)/L45</f>
        <v>0.80645161290322576</v>
      </c>
      <c r="Q45" s="145">
        <f>P45/dose!$P$17</f>
        <v>0.39100684261974583</v>
      </c>
    </row>
    <row r="46" spans="1:17" x14ac:dyDescent="0.2">
      <c r="A46" s="4" t="s">
        <v>8</v>
      </c>
      <c r="B46">
        <v>41</v>
      </c>
      <c r="D46">
        <f t="shared" ref="D46:D48" si="37">AVERAGE(B46:C46)</f>
        <v>41</v>
      </c>
      <c r="E46" s="4">
        <v>10000</v>
      </c>
      <c r="F46" s="4">
        <f>1782.5-1742.3</f>
        <v>40.200000000000045</v>
      </c>
      <c r="G46" s="9">
        <f t="shared" ref="G46:G48" si="38">LOG10(D46*100*E46/F46*1000)</f>
        <v>9.0085578036352647</v>
      </c>
      <c r="H46" s="3">
        <v>26</v>
      </c>
      <c r="J46" s="3">
        <v>1000</v>
      </c>
      <c r="L46">
        <f t="shared" si="34"/>
        <v>26000</v>
      </c>
      <c r="M46">
        <f>L46/(D46*E46)</f>
        <v>6.3414634146341464E-2</v>
      </c>
      <c r="N46" s="74">
        <f>M46/dose!$K$49</f>
        <v>0.12682926829268293</v>
      </c>
      <c r="P46">
        <f t="shared" si="36"/>
        <v>15.76923076923077</v>
      </c>
      <c r="Q46" s="145">
        <f>P46/dose!$P$17</f>
        <v>7.6456876456876461</v>
      </c>
    </row>
    <row r="47" spans="1:17" x14ac:dyDescent="0.2">
      <c r="A47" s="4" t="s">
        <v>13</v>
      </c>
      <c r="B47">
        <v>12</v>
      </c>
      <c r="D47">
        <f t="shared" si="37"/>
        <v>12</v>
      </c>
      <c r="E47" s="4">
        <v>10000</v>
      </c>
      <c r="F47" s="4">
        <f>1854.9-1803.6</f>
        <v>51.300000000000182</v>
      </c>
      <c r="G47" s="9">
        <f t="shared" si="38"/>
        <v>8.3690638809358067</v>
      </c>
      <c r="H47" s="3">
        <v>14</v>
      </c>
      <c r="J47" s="3">
        <v>100</v>
      </c>
      <c r="L47">
        <f t="shared" si="34"/>
        <v>1400</v>
      </c>
      <c r="M47">
        <f>L47/(D47*E47)</f>
        <v>1.1666666666666667E-2</v>
      </c>
      <c r="N47" s="74">
        <f>M47/dose!$K$49</f>
        <v>2.3333333333333334E-2</v>
      </c>
      <c r="P47">
        <f t="shared" si="36"/>
        <v>85.714285714285708</v>
      </c>
      <c r="Q47" s="145">
        <f>P47/dose!$P$17</f>
        <v>41.558441558441558</v>
      </c>
    </row>
    <row r="48" spans="1:17" ht="17" x14ac:dyDescent="0.2">
      <c r="A48" s="5" t="s">
        <v>12</v>
      </c>
      <c r="B48" s="7">
        <v>11</v>
      </c>
      <c r="C48" s="7"/>
      <c r="D48">
        <f t="shared" si="37"/>
        <v>11</v>
      </c>
      <c r="E48" s="5">
        <v>10</v>
      </c>
      <c r="F48" s="5">
        <f>1841.5-1725.8</f>
        <v>115.70000000000005</v>
      </c>
      <c r="G48" s="9">
        <f t="shared" si="38"/>
        <v>4.9780593262064752</v>
      </c>
      <c r="H48" s="3">
        <v>0</v>
      </c>
      <c r="L48">
        <f>K48/10</f>
        <v>0</v>
      </c>
      <c r="M48">
        <f>L48/(D48*E48)</f>
        <v>0</v>
      </c>
      <c r="N48" s="74">
        <f>M48/dose!$K$49</f>
        <v>0</v>
      </c>
      <c r="P48" t="e">
        <f t="shared" si="36"/>
        <v>#DIV/0!</v>
      </c>
      <c r="Q48" s="146">
        <v>1000000</v>
      </c>
    </row>
    <row r="49" spans="1:17" x14ac:dyDescent="0.2">
      <c r="A49" s="11"/>
      <c r="B49" s="137"/>
      <c r="C49" s="137"/>
      <c r="D49" s="5"/>
      <c r="E49" s="5"/>
      <c r="F49" s="5"/>
      <c r="G49" s="8"/>
      <c r="H49" s="44"/>
      <c r="I49" s="44"/>
      <c r="J49" s="44"/>
      <c r="Q49" s="145"/>
    </row>
    <row r="50" spans="1:17" ht="51" customHeight="1" x14ac:dyDescent="0.2">
      <c r="A50" s="2" t="s">
        <v>44</v>
      </c>
      <c r="B50" s="137" t="s">
        <v>40</v>
      </c>
      <c r="C50" s="137"/>
      <c r="D50" s="5" t="s">
        <v>0</v>
      </c>
      <c r="E50" s="5" t="s">
        <v>3</v>
      </c>
      <c r="F50" s="5" t="s">
        <v>1</v>
      </c>
      <c r="G50" s="8" t="s">
        <v>2</v>
      </c>
      <c r="H50" s="138" t="s">
        <v>41</v>
      </c>
      <c r="I50" s="138"/>
      <c r="J50" s="44" t="s">
        <v>39</v>
      </c>
      <c r="K50" s="44" t="s">
        <v>47</v>
      </c>
      <c r="L50" s="5" t="s">
        <v>21</v>
      </c>
      <c r="M50" s="5" t="s">
        <v>22</v>
      </c>
      <c r="N50" s="73" t="s">
        <v>23</v>
      </c>
      <c r="P50" s="140" t="s">
        <v>65</v>
      </c>
      <c r="Q50" s="144" t="s">
        <v>66</v>
      </c>
    </row>
    <row r="51" spans="1:17" x14ac:dyDescent="0.2">
      <c r="A51" s="4" t="s">
        <v>10</v>
      </c>
      <c r="B51">
        <v>25</v>
      </c>
      <c r="C51">
        <v>29</v>
      </c>
      <c r="D51">
        <f>AVERAGE(B51:C51)</f>
        <v>27</v>
      </c>
      <c r="E51" s="4">
        <v>1000</v>
      </c>
      <c r="F51" s="4">
        <f>1805.5-1785.6</f>
        <v>19.900000000000091</v>
      </c>
      <c r="G51" s="9">
        <f>LOG10(D51*100*E51/F51*1000)</f>
        <v>8.1325106877492779</v>
      </c>
      <c r="H51" s="3">
        <v>24</v>
      </c>
      <c r="J51" s="3">
        <v>1</v>
      </c>
      <c r="L51">
        <f>(AVERAGE(H51:I51)*J51)</f>
        <v>24</v>
      </c>
      <c r="M51">
        <f>L51/(D51*E51)</f>
        <v>8.8888888888888893E-4</v>
      </c>
      <c r="N51" s="74">
        <f>M51/dose!$K$49</f>
        <v>1.7777777777777779E-3</v>
      </c>
      <c r="P51">
        <f>(D51*E51)/L51</f>
        <v>1125</v>
      </c>
      <c r="Q51" s="145">
        <f>P51/dose!$P$17</f>
        <v>545.4545454545455</v>
      </c>
    </row>
    <row r="52" spans="1:17" x14ac:dyDescent="0.2">
      <c r="A52" s="4" t="s">
        <v>11</v>
      </c>
      <c r="B52">
        <v>11</v>
      </c>
      <c r="D52">
        <f t="shared" ref="D52:D55" si="39">AVERAGE(B52:C52)</f>
        <v>11</v>
      </c>
      <c r="E52" s="4">
        <v>10000</v>
      </c>
      <c r="F52" s="4">
        <f>1734.2-1692.5</f>
        <v>41.700000000000045</v>
      </c>
      <c r="G52" s="9">
        <f>LOG10(D52*100*E52/F52*1000)</f>
        <v>8.4212566301844678</v>
      </c>
      <c r="H52" s="3">
        <v>7</v>
      </c>
      <c r="J52" s="3">
        <v>1</v>
      </c>
      <c r="L52">
        <f t="shared" ref="L52:L53" si="40">(AVERAGE(H52:I52)*J52)</f>
        <v>7</v>
      </c>
      <c r="M52">
        <f t="shared" ref="M52" si="41">L52/(D52*E52)</f>
        <v>6.3636363636363641E-5</v>
      </c>
      <c r="N52" s="74">
        <f>M52/dose!$K$49</f>
        <v>1.2727272727272728E-4</v>
      </c>
      <c r="P52">
        <f t="shared" ref="P52:P55" si="42">(D52*E52)/L52</f>
        <v>15714.285714285714</v>
      </c>
      <c r="Q52" s="145">
        <f>P52/dose!$P$17</f>
        <v>7619.0476190476184</v>
      </c>
    </row>
    <row r="53" spans="1:17" x14ac:dyDescent="0.2">
      <c r="A53" s="4" t="s">
        <v>8</v>
      </c>
      <c r="B53">
        <v>40</v>
      </c>
      <c r="D53">
        <f t="shared" si="39"/>
        <v>40</v>
      </c>
      <c r="E53" s="4">
        <v>1000</v>
      </c>
      <c r="F53" s="4">
        <f>1736.3-1715.6</f>
        <v>20.700000000000045</v>
      </c>
      <c r="G53" s="9">
        <f t="shared" ref="G53:G55" si="43">LOG10(D53*100*E53/F53*1000)</f>
        <v>8.2860896458710442</v>
      </c>
      <c r="H53" s="3">
        <v>0</v>
      </c>
      <c r="J53" s="3">
        <v>1</v>
      </c>
      <c r="L53">
        <f t="shared" si="40"/>
        <v>0</v>
      </c>
      <c r="M53">
        <f>L53/(D53*E53)</f>
        <v>0</v>
      </c>
      <c r="N53" s="74">
        <f>M53/dose!$K$49</f>
        <v>0</v>
      </c>
      <c r="P53" t="e">
        <f t="shared" si="42"/>
        <v>#DIV/0!</v>
      </c>
      <c r="Q53" s="146">
        <v>1000000</v>
      </c>
    </row>
    <row r="54" spans="1:17" x14ac:dyDescent="0.2">
      <c r="A54" s="4" t="s">
        <v>13</v>
      </c>
      <c r="B54">
        <v>12</v>
      </c>
      <c r="D54">
        <f t="shared" si="39"/>
        <v>12</v>
      </c>
      <c r="E54" s="4">
        <v>1000</v>
      </c>
      <c r="F54" s="4">
        <f>1982.3-1865.5</f>
        <v>116.79999999999995</v>
      </c>
      <c r="G54" s="9">
        <f t="shared" si="43"/>
        <v>7.0117384032712442</v>
      </c>
      <c r="K54" s="3">
        <v>1</v>
      </c>
      <c r="L54">
        <f>K54/10</f>
        <v>0.1</v>
      </c>
      <c r="M54">
        <f t="shared" ref="M54:M55" si="44">L54/(D54*E54)</f>
        <v>8.3333333333333337E-6</v>
      </c>
      <c r="N54" s="74">
        <f>M54/dose!$K$49</f>
        <v>1.6666666666666667E-5</v>
      </c>
      <c r="P54">
        <f t="shared" si="42"/>
        <v>120000</v>
      </c>
      <c r="Q54" s="145">
        <f>P54/dose!$P$17</f>
        <v>58181.818181818184</v>
      </c>
    </row>
    <row r="55" spans="1:17" ht="17" x14ac:dyDescent="0.2">
      <c r="A55" s="5" t="s">
        <v>12</v>
      </c>
      <c r="B55" s="7">
        <v>25</v>
      </c>
      <c r="C55" s="7"/>
      <c r="D55">
        <f t="shared" si="39"/>
        <v>25</v>
      </c>
      <c r="E55" s="5">
        <v>1</v>
      </c>
      <c r="F55" s="5">
        <f>1823.5-1659.2</f>
        <v>164.29999999999995</v>
      </c>
      <c r="G55" s="9">
        <f t="shared" si="43"/>
        <v>4.1823024452369761</v>
      </c>
      <c r="K55" s="3">
        <v>0</v>
      </c>
      <c r="L55">
        <f>K55/10</f>
        <v>0</v>
      </c>
      <c r="M55">
        <f t="shared" si="44"/>
        <v>0</v>
      </c>
      <c r="N55" s="74">
        <f>M55/dose!$K$49</f>
        <v>0</v>
      </c>
      <c r="P55" t="e">
        <f t="shared" si="42"/>
        <v>#DIV/0!</v>
      </c>
      <c r="Q55" s="146">
        <v>1000000</v>
      </c>
    </row>
    <row r="56" spans="1:17" x14ac:dyDescent="0.2">
      <c r="A56" s="4"/>
      <c r="E56" s="4"/>
      <c r="F56" s="4"/>
      <c r="G56" s="9"/>
      <c r="Q56" s="145"/>
    </row>
    <row r="57" spans="1:17" ht="51" customHeight="1" x14ac:dyDescent="0.2">
      <c r="A57" s="2" t="s">
        <v>45</v>
      </c>
      <c r="B57" s="137" t="s">
        <v>40</v>
      </c>
      <c r="C57" s="137"/>
      <c r="D57" s="5" t="s">
        <v>0</v>
      </c>
      <c r="E57" s="5" t="s">
        <v>3</v>
      </c>
      <c r="F57" s="5" t="s">
        <v>1</v>
      </c>
      <c r="G57" s="8" t="s">
        <v>2</v>
      </c>
      <c r="H57" s="138" t="s">
        <v>41</v>
      </c>
      <c r="I57" s="138"/>
      <c r="J57" s="44" t="s">
        <v>39</v>
      </c>
      <c r="K57" s="44" t="s">
        <v>47</v>
      </c>
      <c r="L57" s="5" t="s">
        <v>21</v>
      </c>
      <c r="M57" s="5" t="s">
        <v>22</v>
      </c>
      <c r="N57" s="73" t="s">
        <v>23</v>
      </c>
      <c r="P57" s="140" t="s">
        <v>65</v>
      </c>
      <c r="Q57" s="144" t="s">
        <v>66</v>
      </c>
    </row>
    <row r="58" spans="1:17" x14ac:dyDescent="0.2">
      <c r="A58" s="4" t="s">
        <v>10</v>
      </c>
      <c r="B58">
        <v>15</v>
      </c>
      <c r="C58">
        <v>21</v>
      </c>
      <c r="D58">
        <f>AVERAGE(B58:C58)</f>
        <v>18</v>
      </c>
      <c r="E58" s="4">
        <v>1000</v>
      </c>
      <c r="F58" s="4">
        <f>1721.2-1689.7</f>
        <v>31.5</v>
      </c>
      <c r="G58" s="9">
        <f>LOG10(D58*100*E58/F58*1000)</f>
        <v>7.7569619513137056</v>
      </c>
      <c r="H58" s="3">
        <v>16</v>
      </c>
      <c r="J58" s="3">
        <v>1</v>
      </c>
      <c r="L58">
        <f>(AVERAGE(H58:I58)*J58)</f>
        <v>16</v>
      </c>
      <c r="M58">
        <f>L58/(D58*E58)</f>
        <v>8.8888888888888893E-4</v>
      </c>
      <c r="N58" s="74">
        <f>M58/dose!$K$49</f>
        <v>1.7777777777777779E-3</v>
      </c>
      <c r="P58">
        <f>(D58*E58)/L58</f>
        <v>1125</v>
      </c>
      <c r="Q58" s="145">
        <f>P58/dose!$P$17</f>
        <v>545.4545454545455</v>
      </c>
    </row>
    <row r="59" spans="1:17" x14ac:dyDescent="0.2">
      <c r="A59" s="4" t="s">
        <v>11</v>
      </c>
      <c r="B59">
        <v>13</v>
      </c>
      <c r="D59">
        <f t="shared" ref="D59:D62" si="45">AVERAGE(B59:C59)</f>
        <v>13</v>
      </c>
      <c r="E59" s="4">
        <v>1000</v>
      </c>
      <c r="F59" s="4">
        <f>1764.6-1745.5</f>
        <v>19.099999999999909</v>
      </c>
      <c r="G59" s="9">
        <f>LOG10(D59*100*E59/F59*1000)</f>
        <v>7.8329099850591115</v>
      </c>
      <c r="H59" s="3">
        <v>1</v>
      </c>
      <c r="J59" s="3">
        <v>1</v>
      </c>
      <c r="L59">
        <f t="shared" ref="L59:L60" si="46">(AVERAGE(H59:I59)*J59)</f>
        <v>1</v>
      </c>
      <c r="M59">
        <f t="shared" ref="M59" si="47">L59/(D59*E59)</f>
        <v>7.6923076923076926E-5</v>
      </c>
      <c r="N59" s="74">
        <f>M59/dose!$K$49</f>
        <v>1.5384615384615385E-4</v>
      </c>
      <c r="P59">
        <f t="shared" ref="P59:P62" si="48">(D59*E59)/L59</f>
        <v>13000</v>
      </c>
      <c r="Q59" s="145">
        <f>P59/dose!$P$17</f>
        <v>6303.030303030303</v>
      </c>
    </row>
    <row r="60" spans="1:17" x14ac:dyDescent="0.2">
      <c r="A60" s="4" t="s">
        <v>8</v>
      </c>
      <c r="B60">
        <v>8</v>
      </c>
      <c r="D60">
        <f t="shared" si="45"/>
        <v>8</v>
      </c>
      <c r="E60" s="4">
        <v>1000</v>
      </c>
      <c r="F60" s="4">
        <f>1828.4-1730.7</f>
        <v>97.700000000000045</v>
      </c>
      <c r="G60" s="9">
        <f t="shared" ref="G60:G62" si="49">LOG10(D60*100*E60/F60*1000)</f>
        <v>6.9131954232731703</v>
      </c>
      <c r="H60" s="3">
        <v>0</v>
      </c>
      <c r="J60" s="3">
        <v>1</v>
      </c>
      <c r="L60">
        <f t="shared" si="46"/>
        <v>0</v>
      </c>
      <c r="M60">
        <f>L60/(D60*E60)</f>
        <v>0</v>
      </c>
      <c r="N60" s="74">
        <f>M60/dose!$K$49</f>
        <v>0</v>
      </c>
      <c r="P60" t="e">
        <f t="shared" si="48"/>
        <v>#DIV/0!</v>
      </c>
      <c r="Q60" s="146">
        <v>1000000</v>
      </c>
    </row>
    <row r="61" spans="1:17" x14ac:dyDescent="0.2">
      <c r="A61" s="4" t="s">
        <v>13</v>
      </c>
      <c r="B61">
        <v>20</v>
      </c>
      <c r="D61">
        <f t="shared" si="45"/>
        <v>20</v>
      </c>
      <c r="E61" s="4">
        <v>100</v>
      </c>
      <c r="F61" s="4">
        <f>1812.4-1710.1</f>
        <v>102.30000000000018</v>
      </c>
      <c r="G61" s="9">
        <f t="shared" si="49"/>
        <v>6.2911543619518202</v>
      </c>
      <c r="K61" s="3">
        <v>0</v>
      </c>
      <c r="L61">
        <f>K61/10</f>
        <v>0</v>
      </c>
      <c r="M61">
        <f t="shared" ref="M61:M62" si="50">L61/(D61*E61)</f>
        <v>0</v>
      </c>
      <c r="N61" s="74">
        <f>M61/dose!$K$49</f>
        <v>0</v>
      </c>
      <c r="P61" t="e">
        <f t="shared" si="48"/>
        <v>#DIV/0!</v>
      </c>
      <c r="Q61" s="146">
        <v>1000000</v>
      </c>
    </row>
    <row r="62" spans="1:17" ht="17" x14ac:dyDescent="0.2">
      <c r="A62" s="5" t="s">
        <v>12</v>
      </c>
      <c r="B62" s="7">
        <v>18</v>
      </c>
      <c r="C62" s="7"/>
      <c r="D62">
        <f t="shared" si="45"/>
        <v>18</v>
      </c>
      <c r="E62" s="5">
        <v>100</v>
      </c>
      <c r="F62" s="5">
        <f>2016.4-1877.7</f>
        <v>138.70000000000005</v>
      </c>
      <c r="G62" s="9">
        <f t="shared" si="49"/>
        <v>6.1131960440300208</v>
      </c>
      <c r="K62" s="3">
        <v>0</v>
      </c>
      <c r="L62">
        <f>K62/10</f>
        <v>0</v>
      </c>
      <c r="M62">
        <f t="shared" si="50"/>
        <v>0</v>
      </c>
      <c r="N62" s="74">
        <f>M62/dose!$K$49</f>
        <v>0</v>
      </c>
      <c r="P62" t="e">
        <f t="shared" si="48"/>
        <v>#DIV/0!</v>
      </c>
      <c r="Q62" s="146">
        <v>1000000</v>
      </c>
    </row>
    <row r="63" spans="1:17" x14ac:dyDescent="0.2">
      <c r="A63" s="4"/>
      <c r="E63" s="4"/>
      <c r="F63" s="4"/>
      <c r="G63" s="9"/>
      <c r="Q63" s="145"/>
    </row>
    <row r="64" spans="1:17" ht="51" customHeight="1" x14ac:dyDescent="0.2">
      <c r="A64" s="2" t="s">
        <v>46</v>
      </c>
      <c r="B64" s="137" t="s">
        <v>40</v>
      </c>
      <c r="C64" s="137"/>
      <c r="D64" s="5" t="s">
        <v>0</v>
      </c>
      <c r="E64" s="5" t="s">
        <v>3</v>
      </c>
      <c r="F64" s="5" t="s">
        <v>1</v>
      </c>
      <c r="G64" s="8" t="s">
        <v>2</v>
      </c>
      <c r="H64" s="138" t="s">
        <v>41</v>
      </c>
      <c r="I64" s="138"/>
      <c r="J64" s="44" t="s">
        <v>39</v>
      </c>
      <c r="K64" s="44" t="s">
        <v>47</v>
      </c>
      <c r="L64" s="5" t="s">
        <v>21</v>
      </c>
      <c r="M64" s="5" t="s">
        <v>22</v>
      </c>
      <c r="N64" s="73" t="s">
        <v>23</v>
      </c>
      <c r="P64" s="140" t="s">
        <v>65</v>
      </c>
      <c r="Q64" s="144" t="s">
        <v>66</v>
      </c>
    </row>
    <row r="65" spans="1:17" x14ac:dyDescent="0.2">
      <c r="A65" s="4" t="s">
        <v>10</v>
      </c>
      <c r="B65">
        <v>27</v>
      </c>
      <c r="C65">
        <v>24</v>
      </c>
      <c r="D65">
        <f>AVERAGE(B65:C65)</f>
        <v>25.5</v>
      </c>
      <c r="E65" s="4">
        <v>1000</v>
      </c>
      <c r="F65" s="4">
        <f>1680-1669.8</f>
        <v>10.200000000000045</v>
      </c>
      <c r="G65" s="9">
        <f>LOG10(D65*100*E65/F65*1000)</f>
        <v>8.3979400086720357</v>
      </c>
      <c r="H65" s="3">
        <v>24</v>
      </c>
      <c r="J65" s="3">
        <v>1</v>
      </c>
      <c r="L65">
        <f>(AVERAGE(H65:I65)*J65)</f>
        <v>24</v>
      </c>
      <c r="M65">
        <f>L65/(D65*E65)</f>
        <v>9.4117647058823532E-4</v>
      </c>
      <c r="N65" s="74">
        <f>M65/dose!$K$49</f>
        <v>1.8823529411764706E-3</v>
      </c>
      <c r="P65">
        <f>(D65*E65)/L65</f>
        <v>1062.5</v>
      </c>
      <c r="Q65" s="145">
        <f>P65/dose!$P$17</f>
        <v>515.15151515151513</v>
      </c>
    </row>
    <row r="66" spans="1:17" x14ac:dyDescent="0.2">
      <c r="A66" s="4" t="s">
        <v>11</v>
      </c>
      <c r="B66">
        <v>46</v>
      </c>
      <c r="D66">
        <f t="shared" ref="D66:D69" si="51">AVERAGE(B66:C66)</f>
        <v>46</v>
      </c>
      <c r="E66" s="4">
        <v>10000</v>
      </c>
      <c r="F66" s="4">
        <f>1793.4-1741.7</f>
        <v>51.700000000000045</v>
      </c>
      <c r="G66" s="9">
        <f>LOG10(D66*100*E66/F66*1000)</f>
        <v>8.949267288587631</v>
      </c>
      <c r="H66" s="3">
        <v>31</v>
      </c>
      <c r="J66" s="3">
        <v>1</v>
      </c>
      <c r="L66">
        <f t="shared" ref="L66:L67" si="52">(AVERAGE(H66:I66)*J66)</f>
        <v>31</v>
      </c>
      <c r="M66">
        <f t="shared" ref="M66" si="53">L66/(D66*E66)</f>
        <v>6.7391304347826081E-5</v>
      </c>
      <c r="N66" s="74">
        <f>M66/dose!$K$49</f>
        <v>1.3478260869565216E-4</v>
      </c>
      <c r="P66">
        <f t="shared" ref="P66:P69" si="54">(D66*E66)/L66</f>
        <v>14838.709677419354</v>
      </c>
      <c r="Q66" s="145">
        <f>P66/dose!$P$17</f>
        <v>7194.5259042033231</v>
      </c>
    </row>
    <row r="67" spans="1:17" x14ac:dyDescent="0.2">
      <c r="A67" s="4" t="s">
        <v>8</v>
      </c>
      <c r="B67">
        <v>34</v>
      </c>
      <c r="D67">
        <f t="shared" si="51"/>
        <v>34</v>
      </c>
      <c r="E67" s="4">
        <v>1000</v>
      </c>
      <c r="F67" s="4">
        <f>1754-1730.6</f>
        <v>23.400000000000091</v>
      </c>
      <c r="G67" s="9">
        <f t="shared" ref="G67:G69" si="55">LOG10(D67*100*E67/F67*1000)</f>
        <v>8.1622630596321102</v>
      </c>
      <c r="H67" s="3">
        <v>2</v>
      </c>
      <c r="J67" s="3">
        <v>1</v>
      </c>
      <c r="L67">
        <f t="shared" si="52"/>
        <v>2</v>
      </c>
      <c r="M67">
        <f>L67/(D67*E67)</f>
        <v>5.8823529411764708E-5</v>
      </c>
      <c r="N67" s="74">
        <f>M67/dose!$K$49</f>
        <v>1.1764705882352942E-4</v>
      </c>
      <c r="P67">
        <f t="shared" si="54"/>
        <v>17000</v>
      </c>
      <c r="Q67" s="145">
        <f>P67/dose!$P$17</f>
        <v>8242.424242424242</v>
      </c>
    </row>
    <row r="68" spans="1:17" x14ac:dyDescent="0.2">
      <c r="A68" s="4" t="s">
        <v>13</v>
      </c>
      <c r="B68">
        <v>36</v>
      </c>
      <c r="D68">
        <f t="shared" si="51"/>
        <v>36</v>
      </c>
      <c r="E68" s="4">
        <v>100</v>
      </c>
      <c r="F68" s="4">
        <f>1784.8-1732.1</f>
        <v>52.700000000000045</v>
      </c>
      <c r="G68" s="9">
        <f t="shared" si="55"/>
        <v>6.8344918855547405</v>
      </c>
      <c r="K68" s="3">
        <v>0</v>
      </c>
      <c r="L68">
        <f>K68/10</f>
        <v>0</v>
      </c>
      <c r="M68">
        <f t="shared" ref="M68:M69" si="56">L68/(D68*E68)</f>
        <v>0</v>
      </c>
      <c r="N68" s="74">
        <f>M68/dose!$K$49</f>
        <v>0</v>
      </c>
      <c r="P68" t="e">
        <f t="shared" si="54"/>
        <v>#DIV/0!</v>
      </c>
      <c r="Q68" s="146">
        <v>1000000</v>
      </c>
    </row>
    <row r="69" spans="1:17" ht="17" x14ac:dyDescent="0.2">
      <c r="A69" s="5" t="s">
        <v>12</v>
      </c>
      <c r="B69" s="7">
        <v>21</v>
      </c>
      <c r="C69" s="7"/>
      <c r="D69">
        <f t="shared" si="51"/>
        <v>21</v>
      </c>
      <c r="E69" s="5">
        <v>10</v>
      </c>
      <c r="F69" s="5">
        <f>1801.7-1670</f>
        <v>131.70000000000005</v>
      </c>
      <c r="G69" s="9">
        <f t="shared" si="55"/>
        <v>5.2026335197721352</v>
      </c>
      <c r="K69" s="3">
        <v>0</v>
      </c>
      <c r="L69">
        <f>K69/10</f>
        <v>0</v>
      </c>
      <c r="M69">
        <f t="shared" si="56"/>
        <v>0</v>
      </c>
      <c r="N69" s="74">
        <f>M69/dose!$K$49</f>
        <v>0</v>
      </c>
      <c r="P69" t="e">
        <f t="shared" si="54"/>
        <v>#DIV/0!</v>
      </c>
      <c r="Q69" s="146">
        <v>1000000</v>
      </c>
    </row>
    <row r="70" spans="1:17" s="25" customFormat="1" x14ac:dyDescent="0.2">
      <c r="A70" s="24"/>
      <c r="E70" s="24"/>
      <c r="F70" s="24"/>
      <c r="G70" s="26"/>
      <c r="H70" s="45"/>
      <c r="I70" s="45"/>
      <c r="J70" s="45"/>
      <c r="K70" s="45"/>
      <c r="N70" s="75"/>
      <c r="Q70" s="83"/>
    </row>
    <row r="71" spans="1:17" ht="51" customHeight="1" x14ac:dyDescent="0.2">
      <c r="A71" s="2" t="s">
        <v>48</v>
      </c>
      <c r="B71" s="137" t="s">
        <v>49</v>
      </c>
      <c r="C71" s="137"/>
      <c r="D71" s="5" t="s">
        <v>0</v>
      </c>
      <c r="E71" s="5" t="s">
        <v>3</v>
      </c>
      <c r="F71" s="5" t="s">
        <v>1</v>
      </c>
      <c r="G71" s="8" t="s">
        <v>2</v>
      </c>
      <c r="H71" s="138" t="s">
        <v>50</v>
      </c>
      <c r="I71" s="138"/>
      <c r="J71" s="44" t="s">
        <v>39</v>
      </c>
      <c r="K71" s="5" t="s">
        <v>22</v>
      </c>
      <c r="L71" s="73" t="s">
        <v>23</v>
      </c>
    </row>
    <row r="72" spans="1:17" x14ac:dyDescent="0.2">
      <c r="A72" s="4" t="s">
        <v>10</v>
      </c>
      <c r="B72">
        <v>23</v>
      </c>
      <c r="C72">
        <v>20</v>
      </c>
      <c r="D72">
        <f>AVERAGE(B72:C72)</f>
        <v>21.5</v>
      </c>
      <c r="E72" s="4">
        <v>1000</v>
      </c>
      <c r="F72" s="4">
        <f>1698.1-1658.6</f>
        <v>39.5</v>
      </c>
      <c r="G72" s="9">
        <f>LOG10(D72*100*E72/F72*1000)</f>
        <v>7.7358413642891453</v>
      </c>
      <c r="H72" s="3">
        <v>31</v>
      </c>
      <c r="I72" s="3">
        <v>26</v>
      </c>
      <c r="J72" s="3">
        <v>1000</v>
      </c>
      <c r="K72">
        <f>(AVERAGE(H72:I72)*J72)/(D72*E72)</f>
        <v>1.3255813953488371</v>
      </c>
      <c r="L72" s="74">
        <f>K72/dose!$K$52</f>
        <v>1.3255813953488371</v>
      </c>
    </row>
    <row r="73" spans="1:17" x14ac:dyDescent="0.2">
      <c r="A73" s="4" t="s">
        <v>11</v>
      </c>
      <c r="B73">
        <v>17</v>
      </c>
      <c r="C73">
        <v>15</v>
      </c>
      <c r="D73">
        <f t="shared" ref="D73:D76" si="57">AVERAGE(B73:C73)</f>
        <v>16</v>
      </c>
      <c r="E73" s="4">
        <v>1000</v>
      </c>
      <c r="F73" s="4">
        <f>1801.1-1783</f>
        <v>18.099999999999909</v>
      </c>
      <c r="G73" s="9">
        <f>LOG10(D73*100*E73/F73*1000)</f>
        <v>7.9464414077867422</v>
      </c>
      <c r="H73" s="3">
        <v>52</v>
      </c>
      <c r="I73" s="3">
        <v>46</v>
      </c>
      <c r="J73" s="3">
        <v>1000</v>
      </c>
      <c r="K73">
        <f t="shared" ref="K73:K76" si="58">(AVERAGE(H73:I73)*J73)/(D73*E73)</f>
        <v>3.0625</v>
      </c>
      <c r="L73" s="74">
        <f>K73/dose!$K$52</f>
        <v>3.0625</v>
      </c>
    </row>
    <row r="74" spans="1:17" x14ac:dyDescent="0.2">
      <c r="A74" s="4" t="s">
        <v>8</v>
      </c>
      <c r="B74">
        <v>15</v>
      </c>
      <c r="C74">
        <v>20</v>
      </c>
      <c r="D74">
        <f t="shared" si="57"/>
        <v>17.5</v>
      </c>
      <c r="E74" s="4">
        <v>1000</v>
      </c>
      <c r="F74" s="4">
        <f>1682.5-1667.9</f>
        <v>14.599999999999909</v>
      </c>
      <c r="G74" s="9">
        <f t="shared" ref="G74:G76" si="59">LOG10(D74*100*E74/F74*1000)</f>
        <v>8.0786851929018599</v>
      </c>
      <c r="H74" s="3">
        <v>29</v>
      </c>
      <c r="I74" s="3">
        <v>34</v>
      </c>
      <c r="J74" s="3">
        <v>1000</v>
      </c>
      <c r="K74">
        <f t="shared" si="58"/>
        <v>1.8</v>
      </c>
      <c r="L74" s="74">
        <f>K74/dose!$K$52</f>
        <v>1.8</v>
      </c>
    </row>
    <row r="75" spans="1:17" x14ac:dyDescent="0.2">
      <c r="A75" s="4" t="s">
        <v>13</v>
      </c>
      <c r="B75">
        <v>22</v>
      </c>
      <c r="C75">
        <v>19</v>
      </c>
      <c r="D75">
        <f t="shared" si="57"/>
        <v>20.5</v>
      </c>
      <c r="E75" s="4">
        <v>1000</v>
      </c>
      <c r="F75" s="4">
        <f>1787-1721.2</f>
        <v>65.799999999999955</v>
      </c>
      <c r="G75" s="9">
        <f t="shared" si="59"/>
        <v>7.4935279674417989</v>
      </c>
      <c r="H75" s="3">
        <v>18</v>
      </c>
      <c r="I75" s="3">
        <v>12</v>
      </c>
      <c r="J75" s="3">
        <v>1000</v>
      </c>
      <c r="K75">
        <f t="shared" si="58"/>
        <v>0.73170731707317072</v>
      </c>
      <c r="L75" s="74">
        <f>K75/dose!$K$52</f>
        <v>0.73170731707317072</v>
      </c>
    </row>
    <row r="76" spans="1:17" ht="17" x14ac:dyDescent="0.2">
      <c r="A76" s="5" t="s">
        <v>12</v>
      </c>
      <c r="B76" s="7">
        <v>0</v>
      </c>
      <c r="C76" s="7">
        <v>0</v>
      </c>
      <c r="D76">
        <f t="shared" si="57"/>
        <v>0</v>
      </c>
      <c r="E76" s="5">
        <v>1</v>
      </c>
      <c r="F76" s="5">
        <f>2020.2-1868.7</f>
        <v>151.5</v>
      </c>
      <c r="G76" s="9" t="e">
        <f t="shared" si="59"/>
        <v>#NUM!</v>
      </c>
      <c r="H76" s="3">
        <v>0</v>
      </c>
      <c r="I76" s="3">
        <v>0</v>
      </c>
      <c r="J76" s="3">
        <v>1</v>
      </c>
      <c r="K76" t="e">
        <f t="shared" si="58"/>
        <v>#DIV/0!</v>
      </c>
      <c r="L76" s="74" t="e">
        <f>K76/dose!$K$52</f>
        <v>#DIV/0!</v>
      </c>
    </row>
    <row r="77" spans="1:17" x14ac:dyDescent="0.2">
      <c r="A77" s="11"/>
      <c r="B77" s="7"/>
      <c r="C77" s="7"/>
      <c r="D77" s="5"/>
      <c r="E77" s="5"/>
      <c r="F77" s="5"/>
      <c r="G77" s="8"/>
      <c r="H77" s="44"/>
      <c r="I77" s="44"/>
      <c r="J77" s="44"/>
    </row>
    <row r="78" spans="1:17" ht="51" x14ac:dyDescent="0.2">
      <c r="A78" s="2" t="s">
        <v>51</v>
      </c>
      <c r="B78" s="137" t="s">
        <v>49</v>
      </c>
      <c r="C78" s="137"/>
      <c r="D78" s="5" t="s">
        <v>0</v>
      </c>
      <c r="E78" s="5" t="s">
        <v>3</v>
      </c>
      <c r="F78" s="5" t="s">
        <v>1</v>
      </c>
      <c r="G78" s="8" t="s">
        <v>2</v>
      </c>
      <c r="H78" s="138" t="s">
        <v>50</v>
      </c>
      <c r="I78" s="138"/>
      <c r="J78" s="44" t="s">
        <v>39</v>
      </c>
      <c r="K78" s="5" t="s">
        <v>22</v>
      </c>
      <c r="L78" s="73" t="s">
        <v>23</v>
      </c>
    </row>
    <row r="79" spans="1:17" x14ac:dyDescent="0.2">
      <c r="A79" s="4" t="s">
        <v>10</v>
      </c>
      <c r="B79">
        <v>35</v>
      </c>
      <c r="C79">
        <v>39</v>
      </c>
      <c r="D79">
        <f>AVERAGE(B79:C79)</f>
        <v>37</v>
      </c>
      <c r="E79" s="4">
        <v>10</v>
      </c>
      <c r="F79" s="4">
        <f>1731.9-1717</f>
        <v>14.900000000000091</v>
      </c>
      <c r="G79" s="9">
        <f>LOG10(D79*100*E79/F79*1000)</f>
        <v>6.3950154556547183</v>
      </c>
      <c r="H79" s="3">
        <v>30</v>
      </c>
      <c r="I79" s="3">
        <v>34</v>
      </c>
      <c r="J79" s="3">
        <v>10</v>
      </c>
      <c r="K79">
        <f>(AVERAGE(H79:I79)*J79)/(D79*E79)</f>
        <v>0.86486486486486491</v>
      </c>
      <c r="L79" s="74">
        <f>K79/dose!$K$52</f>
        <v>0.86486486486486491</v>
      </c>
    </row>
    <row r="80" spans="1:17" x14ac:dyDescent="0.2">
      <c r="A80" s="4" t="s">
        <v>11</v>
      </c>
      <c r="B80">
        <v>18</v>
      </c>
      <c r="C80">
        <v>18</v>
      </c>
      <c r="D80">
        <f t="shared" ref="D80:D83" si="60">AVERAGE(B80:C80)</f>
        <v>18</v>
      </c>
      <c r="E80" s="4">
        <v>1000</v>
      </c>
      <c r="F80" s="4">
        <f>1625.6-1602.5</f>
        <v>23.099999999999909</v>
      </c>
      <c r="G80" s="9">
        <f>LOG10(D80*100*E80/F80*1000)</f>
        <v>7.8916605252111633</v>
      </c>
      <c r="H80" s="3">
        <v>12</v>
      </c>
      <c r="I80" s="3">
        <v>19</v>
      </c>
      <c r="J80" s="3">
        <v>1000</v>
      </c>
      <c r="K80">
        <f t="shared" ref="K80:K83" si="61">(AVERAGE(H80:I80)*J80)/(D80*E80)</f>
        <v>0.86111111111111116</v>
      </c>
      <c r="L80" s="74">
        <f>K80/dose!$K$52</f>
        <v>0.86111111111111116</v>
      </c>
    </row>
    <row r="81" spans="1:12" x14ac:dyDescent="0.2">
      <c r="A81" s="4" t="s">
        <v>8</v>
      </c>
      <c r="B81">
        <v>10</v>
      </c>
      <c r="C81">
        <v>7</v>
      </c>
      <c r="D81">
        <f t="shared" si="60"/>
        <v>8.5</v>
      </c>
      <c r="E81" s="4">
        <v>1000</v>
      </c>
      <c r="F81" s="4">
        <f>1736.7-1718.5</f>
        <v>18.200000000000045</v>
      </c>
      <c r="G81" s="9">
        <f t="shared" ref="G81:G83" si="62">LOG10(D81*100*E81/F81*1000)</f>
        <v>7.6693475377292168</v>
      </c>
      <c r="H81" s="3">
        <v>12</v>
      </c>
      <c r="I81" s="3">
        <v>9</v>
      </c>
      <c r="J81" s="3">
        <v>1000</v>
      </c>
      <c r="K81">
        <f t="shared" si="61"/>
        <v>1.2352941176470589</v>
      </c>
      <c r="L81" s="74">
        <f>K81/dose!$K$52</f>
        <v>1.2352941176470589</v>
      </c>
    </row>
    <row r="82" spans="1:12" x14ac:dyDescent="0.2">
      <c r="A82" s="4" t="s">
        <v>13</v>
      </c>
      <c r="B82">
        <v>12</v>
      </c>
      <c r="C82">
        <v>5</v>
      </c>
      <c r="D82">
        <f t="shared" si="60"/>
        <v>8.5</v>
      </c>
      <c r="E82" s="4">
        <v>100</v>
      </c>
      <c r="F82" s="4">
        <f>1853.9-1797.1</f>
        <v>56.800000000000182</v>
      </c>
      <c r="G82" s="9">
        <f t="shared" si="62"/>
        <v>6.1750705900032727</v>
      </c>
      <c r="H82" s="3">
        <v>9</v>
      </c>
      <c r="I82" s="3">
        <v>8</v>
      </c>
      <c r="J82" s="3">
        <v>100</v>
      </c>
      <c r="K82">
        <f t="shared" si="61"/>
        <v>1</v>
      </c>
      <c r="L82" s="74">
        <f>K82/dose!$K$52</f>
        <v>1</v>
      </c>
    </row>
    <row r="83" spans="1:12" ht="17" x14ac:dyDescent="0.2">
      <c r="A83" s="5" t="s">
        <v>12</v>
      </c>
      <c r="B83" s="7">
        <v>5</v>
      </c>
      <c r="C83" s="7">
        <v>3</v>
      </c>
      <c r="D83">
        <f t="shared" si="60"/>
        <v>4</v>
      </c>
      <c r="E83" s="5">
        <v>1</v>
      </c>
      <c r="F83" s="5">
        <f>1734.9-1651.4</f>
        <v>83.5</v>
      </c>
      <c r="G83" s="9">
        <f t="shared" si="62"/>
        <v>3.6803735158443605</v>
      </c>
      <c r="H83" s="3">
        <v>0</v>
      </c>
      <c r="I83" s="3">
        <v>1</v>
      </c>
      <c r="J83" s="3">
        <v>1</v>
      </c>
      <c r="K83">
        <f t="shared" si="61"/>
        <v>0.125</v>
      </c>
      <c r="L83" s="74">
        <f>K83/dose!$K$52</f>
        <v>0.125</v>
      </c>
    </row>
    <row r="84" spans="1:12" x14ac:dyDescent="0.2">
      <c r="A84" s="4"/>
      <c r="E84" s="4"/>
      <c r="F84" s="4"/>
      <c r="G84" s="9"/>
    </row>
    <row r="85" spans="1:12" ht="51" x14ac:dyDescent="0.2">
      <c r="A85" s="2" t="s">
        <v>52</v>
      </c>
      <c r="B85" s="137" t="s">
        <v>49</v>
      </c>
      <c r="C85" s="137"/>
      <c r="D85" s="5" t="s">
        <v>0</v>
      </c>
      <c r="E85" s="5" t="s">
        <v>3</v>
      </c>
      <c r="F85" s="5" t="s">
        <v>1</v>
      </c>
      <c r="G85" s="8" t="s">
        <v>2</v>
      </c>
      <c r="H85" s="138" t="s">
        <v>50</v>
      </c>
      <c r="I85" s="138"/>
      <c r="J85" s="44" t="s">
        <v>39</v>
      </c>
      <c r="K85" s="5" t="s">
        <v>22</v>
      </c>
      <c r="L85" s="73" t="s">
        <v>23</v>
      </c>
    </row>
    <row r="86" spans="1:12" x14ac:dyDescent="0.2">
      <c r="A86" s="4" t="s">
        <v>10</v>
      </c>
      <c r="B86">
        <v>1</v>
      </c>
      <c r="C86">
        <v>0</v>
      </c>
      <c r="D86">
        <f>AVERAGE(B86:C86)</f>
        <v>0.5</v>
      </c>
      <c r="E86" s="4">
        <v>1</v>
      </c>
      <c r="F86" s="4">
        <f>1752-1715.9</f>
        <v>36.099999999999909</v>
      </c>
      <c r="G86" s="9">
        <f>LOG10(D86*100*E86/F86*1000)</f>
        <v>3.1414628024303619</v>
      </c>
      <c r="H86" s="3">
        <v>2</v>
      </c>
      <c r="I86" s="3">
        <v>4</v>
      </c>
      <c r="J86" s="3">
        <v>1</v>
      </c>
      <c r="K86">
        <f>(AVERAGE(H86:I86)*J86)/(D86*E86)</f>
        <v>6</v>
      </c>
      <c r="L86" s="74">
        <f>K86/dose!$K$52</f>
        <v>6</v>
      </c>
    </row>
    <row r="87" spans="1:12" x14ac:dyDescent="0.2">
      <c r="A87" s="4" t="s">
        <v>11</v>
      </c>
      <c r="B87">
        <v>1</v>
      </c>
      <c r="C87">
        <v>1</v>
      </c>
      <c r="D87">
        <f t="shared" ref="D87:D90" si="63">AVERAGE(B87:C87)</f>
        <v>1</v>
      </c>
      <c r="E87" s="4">
        <v>1</v>
      </c>
      <c r="F87" s="4">
        <f>1665.3-1630.8</f>
        <v>34.5</v>
      </c>
      <c r="G87" s="9">
        <f>LOG10(D87*100*E87/F87*1000)</f>
        <v>3.462180904926726</v>
      </c>
      <c r="H87" s="3">
        <v>7</v>
      </c>
      <c r="I87" s="3">
        <v>5</v>
      </c>
      <c r="J87" s="3">
        <v>1</v>
      </c>
      <c r="K87">
        <f t="shared" ref="K87:K90" si="64">(AVERAGE(H87:I87)*J87)/(D87*E87)</f>
        <v>6</v>
      </c>
      <c r="L87" s="74">
        <f>K87/dose!$K$52</f>
        <v>6</v>
      </c>
    </row>
    <row r="88" spans="1:12" x14ac:dyDescent="0.2">
      <c r="A88" s="4" t="s">
        <v>8</v>
      </c>
      <c r="B88">
        <v>0</v>
      </c>
      <c r="D88">
        <f t="shared" si="63"/>
        <v>0</v>
      </c>
      <c r="E88" s="4">
        <v>1</v>
      </c>
      <c r="F88" s="4">
        <f>1845.7-1812</f>
        <v>33.700000000000045</v>
      </c>
      <c r="G88" s="9" t="e">
        <f t="shared" ref="G88:G90" si="65">LOG10(D88*100*E88/F88*1000)</f>
        <v>#NUM!</v>
      </c>
      <c r="H88" s="3">
        <v>38</v>
      </c>
      <c r="I88" s="3">
        <v>31</v>
      </c>
      <c r="J88" s="3">
        <v>1</v>
      </c>
      <c r="K88" t="e">
        <f t="shared" si="64"/>
        <v>#DIV/0!</v>
      </c>
      <c r="L88" s="74" t="e">
        <f>K88/dose!$K$52</f>
        <v>#DIV/0!</v>
      </c>
    </row>
    <row r="89" spans="1:12" x14ac:dyDescent="0.2">
      <c r="A89" s="4" t="s">
        <v>13</v>
      </c>
      <c r="B89">
        <v>2</v>
      </c>
      <c r="C89">
        <v>1</v>
      </c>
      <c r="D89">
        <f t="shared" si="63"/>
        <v>1.5</v>
      </c>
      <c r="E89" s="4">
        <v>1</v>
      </c>
      <c r="F89" s="4">
        <f>1869.5-1800.8</f>
        <v>68.700000000000045</v>
      </c>
      <c r="G89" s="9">
        <f t="shared" si="65"/>
        <v>3.3391345219961304</v>
      </c>
      <c r="H89" s="3">
        <v>21</v>
      </c>
      <c r="I89" s="3">
        <v>17</v>
      </c>
      <c r="J89" s="3">
        <v>1</v>
      </c>
      <c r="K89">
        <f t="shared" si="64"/>
        <v>12.666666666666666</v>
      </c>
      <c r="L89" s="74">
        <f>K89/dose!$K$52</f>
        <v>12.666666666666666</v>
      </c>
    </row>
    <row r="90" spans="1:12" ht="17" x14ac:dyDescent="0.2">
      <c r="A90" s="5" t="s">
        <v>12</v>
      </c>
      <c r="B90" s="7">
        <v>1</v>
      </c>
      <c r="C90" s="7">
        <v>1</v>
      </c>
      <c r="D90">
        <f t="shared" si="63"/>
        <v>1</v>
      </c>
      <c r="E90" s="5">
        <v>1</v>
      </c>
      <c r="F90" s="5">
        <f>1851.2-1729.7</f>
        <v>121.5</v>
      </c>
      <c r="G90" s="9">
        <f t="shared" si="65"/>
        <v>2.9154237220656691</v>
      </c>
      <c r="H90" s="3">
        <v>1</v>
      </c>
      <c r="I90" s="3">
        <v>1</v>
      </c>
      <c r="J90" s="3">
        <v>1</v>
      </c>
      <c r="K90">
        <f t="shared" si="64"/>
        <v>1</v>
      </c>
      <c r="L90" s="74">
        <f>K90/dose!$K$52</f>
        <v>1</v>
      </c>
    </row>
    <row r="91" spans="1:12" x14ac:dyDescent="0.2">
      <c r="A91" s="4"/>
      <c r="E91" s="4"/>
      <c r="F91" s="4"/>
      <c r="G91" s="9"/>
    </row>
    <row r="92" spans="1:12" ht="51" x14ac:dyDescent="0.2">
      <c r="A92" s="2" t="s">
        <v>53</v>
      </c>
      <c r="B92" s="137" t="s">
        <v>49</v>
      </c>
      <c r="C92" s="137"/>
      <c r="D92" s="5" t="s">
        <v>0</v>
      </c>
      <c r="E92" s="5" t="s">
        <v>3</v>
      </c>
      <c r="F92" s="5" t="s">
        <v>1</v>
      </c>
      <c r="G92" s="8" t="s">
        <v>2</v>
      </c>
      <c r="H92" s="138" t="s">
        <v>50</v>
      </c>
      <c r="I92" s="138"/>
      <c r="J92" s="44" t="s">
        <v>39</v>
      </c>
      <c r="K92" s="5" t="s">
        <v>22</v>
      </c>
      <c r="L92" s="73" t="s">
        <v>23</v>
      </c>
    </row>
    <row r="93" spans="1:12" x14ac:dyDescent="0.2">
      <c r="A93" s="4" t="s">
        <v>10</v>
      </c>
      <c r="B93">
        <v>8</v>
      </c>
      <c r="C93">
        <v>11</v>
      </c>
      <c r="D93">
        <f>AVERAGE(B93:C93)</f>
        <v>9.5</v>
      </c>
      <c r="E93" s="4">
        <v>100</v>
      </c>
      <c r="F93" s="4">
        <f>1780.7-1757.9</f>
        <v>22.799999999999955</v>
      </c>
      <c r="G93" s="9">
        <f>LOG10(D93*100*E93/F93*1000)</f>
        <v>6.6197887582883945</v>
      </c>
      <c r="H93" s="3">
        <v>43</v>
      </c>
      <c r="I93" s="3">
        <v>36</v>
      </c>
      <c r="J93" s="3">
        <v>100</v>
      </c>
      <c r="K93">
        <f>(AVERAGE(H93:I93)*J93)/(D93*E93)</f>
        <v>4.1578947368421053</v>
      </c>
      <c r="L93" s="74">
        <f>K93/dose!$K$52</f>
        <v>4.1578947368421053</v>
      </c>
    </row>
    <row r="94" spans="1:12" x14ac:dyDescent="0.2">
      <c r="A94" s="4" t="s">
        <v>11</v>
      </c>
      <c r="B94">
        <v>3</v>
      </c>
      <c r="C94">
        <v>9</v>
      </c>
      <c r="D94">
        <f t="shared" ref="D94:D97" si="66">AVERAGE(B94:C94)</f>
        <v>6</v>
      </c>
      <c r="E94" s="4">
        <v>1000</v>
      </c>
      <c r="F94" s="4">
        <f>1801.3-1753.3</f>
        <v>48</v>
      </c>
      <c r="G94" s="9">
        <f>LOG10(D94*100*E94/F94*1000)</f>
        <v>7.0969100130080562</v>
      </c>
      <c r="H94" s="3">
        <v>29</v>
      </c>
      <c r="I94" s="3">
        <v>29</v>
      </c>
      <c r="J94" s="3">
        <v>1000</v>
      </c>
      <c r="K94">
        <f t="shared" ref="K94:K97" si="67">(AVERAGE(H94:I94)*J94)/(D94*E94)</f>
        <v>4.833333333333333</v>
      </c>
      <c r="L94" s="74">
        <f>K94/dose!$K$52</f>
        <v>4.833333333333333</v>
      </c>
    </row>
    <row r="95" spans="1:12" x14ac:dyDescent="0.2">
      <c r="A95" s="4" t="s">
        <v>8</v>
      </c>
      <c r="B95">
        <v>6</v>
      </c>
      <c r="C95">
        <v>4</v>
      </c>
      <c r="D95">
        <f>AVERAGE(B95:C95)</f>
        <v>5</v>
      </c>
      <c r="E95" s="4">
        <v>10</v>
      </c>
      <c r="F95" s="4">
        <f>1826.6-1732.3</f>
        <v>94.299999999999955</v>
      </c>
      <c r="G95" s="9">
        <f t="shared" ref="G95:G97" si="68">LOG10(D95*100*E95/F95*1000)</f>
        <v>4.7244583115986902</v>
      </c>
      <c r="H95" s="3">
        <v>17</v>
      </c>
      <c r="I95" s="3">
        <v>22</v>
      </c>
      <c r="J95" s="3">
        <v>10</v>
      </c>
      <c r="K95">
        <f t="shared" si="67"/>
        <v>3.9</v>
      </c>
      <c r="L95" s="74">
        <f>K95/dose!$K$52</f>
        <v>3.9</v>
      </c>
    </row>
    <row r="96" spans="1:12" x14ac:dyDescent="0.2">
      <c r="A96" s="4" t="s">
        <v>13</v>
      </c>
      <c r="B96">
        <v>11</v>
      </c>
      <c r="C96">
        <v>6</v>
      </c>
      <c r="D96">
        <f t="shared" si="66"/>
        <v>8.5</v>
      </c>
      <c r="E96" s="4">
        <v>1</v>
      </c>
      <c r="F96" s="4">
        <f>1785.2-1732.5</f>
        <v>52.700000000000045</v>
      </c>
      <c r="G96" s="9">
        <f t="shared" si="68"/>
        <v>4.2076083105017457</v>
      </c>
      <c r="H96" s="3">
        <v>24</v>
      </c>
      <c r="I96" s="3">
        <v>21</v>
      </c>
      <c r="J96" s="3">
        <v>1</v>
      </c>
      <c r="K96">
        <f t="shared" si="67"/>
        <v>2.6470588235294117</v>
      </c>
      <c r="L96" s="74">
        <f>K96/dose!$K$52</f>
        <v>2.6470588235294117</v>
      </c>
    </row>
    <row r="97" spans="1:17" ht="17" x14ac:dyDescent="0.2">
      <c r="A97" s="5" t="s">
        <v>12</v>
      </c>
      <c r="B97" s="7">
        <v>2</v>
      </c>
      <c r="C97" s="7">
        <v>0</v>
      </c>
      <c r="D97">
        <f t="shared" si="66"/>
        <v>1</v>
      </c>
      <c r="E97" s="5">
        <v>1</v>
      </c>
      <c r="F97" s="5">
        <f>1684.9-1653.1</f>
        <v>31.800000000000182</v>
      </c>
      <c r="G97" s="9">
        <f t="shared" si="68"/>
        <v>3.4975728800155648</v>
      </c>
      <c r="H97" s="3">
        <v>0</v>
      </c>
      <c r="I97" s="3">
        <v>0</v>
      </c>
      <c r="J97" s="3">
        <v>1</v>
      </c>
      <c r="K97">
        <f t="shared" si="67"/>
        <v>0</v>
      </c>
      <c r="L97" s="74">
        <f>K97/dose!$K$52</f>
        <v>0</v>
      </c>
    </row>
    <row r="98" spans="1:17" x14ac:dyDescent="0.2">
      <c r="A98" s="4"/>
      <c r="E98" s="4"/>
      <c r="F98" s="4"/>
      <c r="G98" s="9"/>
    </row>
    <row r="99" spans="1:17" ht="51" x14ac:dyDescent="0.2">
      <c r="A99" s="2" t="s">
        <v>54</v>
      </c>
      <c r="B99" s="137" t="s">
        <v>49</v>
      </c>
      <c r="C99" s="137"/>
      <c r="D99" s="5" t="s">
        <v>0</v>
      </c>
      <c r="E99" s="5" t="s">
        <v>3</v>
      </c>
      <c r="F99" s="5" t="s">
        <v>1</v>
      </c>
      <c r="G99" s="8" t="s">
        <v>2</v>
      </c>
      <c r="H99" s="138" t="s">
        <v>50</v>
      </c>
      <c r="I99" s="138"/>
      <c r="J99" s="44" t="s">
        <v>39</v>
      </c>
      <c r="K99" s="5" t="s">
        <v>22</v>
      </c>
      <c r="L99" s="73" t="s">
        <v>23</v>
      </c>
    </row>
    <row r="100" spans="1:17" x14ac:dyDescent="0.2">
      <c r="A100" s="4" t="s">
        <v>10</v>
      </c>
      <c r="B100">
        <v>1</v>
      </c>
      <c r="C100">
        <v>0</v>
      </c>
      <c r="D100">
        <f>AVERAGE(B100:C100)</f>
        <v>0.5</v>
      </c>
      <c r="E100" s="4">
        <v>1000</v>
      </c>
      <c r="F100" s="4">
        <f>1647.5-1626.2</f>
        <v>21.299999999999955</v>
      </c>
      <c r="G100" s="9">
        <f>LOG10(D100*100*E100/F100*1000)</f>
        <v>6.3705904008972825</v>
      </c>
      <c r="H100" s="3">
        <v>35</v>
      </c>
      <c r="I100" s="3">
        <v>31</v>
      </c>
      <c r="J100" s="3">
        <v>1000</v>
      </c>
      <c r="K100">
        <f>(AVERAGE(H100:I100)*J100)/(D100*E100)</f>
        <v>66</v>
      </c>
      <c r="L100" s="74">
        <f>K100/dose!$K$52</f>
        <v>66</v>
      </c>
    </row>
    <row r="101" spans="1:17" x14ac:dyDescent="0.2">
      <c r="A101" s="4" t="s">
        <v>11</v>
      </c>
      <c r="B101">
        <v>0</v>
      </c>
      <c r="C101">
        <v>3</v>
      </c>
      <c r="D101">
        <f t="shared" ref="D101:D104" si="69">AVERAGE(B101:C101)</f>
        <v>1.5</v>
      </c>
      <c r="E101" s="4">
        <v>100</v>
      </c>
      <c r="F101" s="4">
        <f>1656-1646.2</f>
        <v>9.7999999999999545</v>
      </c>
      <c r="G101" s="9">
        <f>LOG10(D101*100*E101/F101*1000)</f>
        <v>6.184865183363188</v>
      </c>
      <c r="H101" s="3">
        <v>30</v>
      </c>
      <c r="I101" s="3">
        <v>28</v>
      </c>
      <c r="J101" s="3">
        <v>100</v>
      </c>
      <c r="K101">
        <f t="shared" ref="K101:K104" si="70">(AVERAGE(H101:I101)*J101)/(D101*E101)</f>
        <v>19.333333333333332</v>
      </c>
      <c r="L101" s="74">
        <f>K101/dose!$K$52</f>
        <v>19.333333333333332</v>
      </c>
    </row>
    <row r="102" spans="1:17" x14ac:dyDescent="0.2">
      <c r="A102" s="4" t="s">
        <v>8</v>
      </c>
      <c r="B102">
        <v>7</v>
      </c>
      <c r="C102">
        <v>4</v>
      </c>
      <c r="D102">
        <f t="shared" si="69"/>
        <v>5.5</v>
      </c>
      <c r="E102" s="4">
        <v>10</v>
      </c>
      <c r="F102" s="4">
        <f>1757.6-1739.4</f>
        <v>18.199999999999818</v>
      </c>
      <c r="G102" s="9">
        <f t="shared" ref="G102:G104" si="71">LOG10(D102*100*E102/F102*1000)</f>
        <v>5.4802913015091734</v>
      </c>
      <c r="H102" s="3">
        <v>23</v>
      </c>
      <c r="I102" s="3">
        <v>29</v>
      </c>
      <c r="J102" s="3">
        <v>100</v>
      </c>
      <c r="K102">
        <f t="shared" si="70"/>
        <v>47.272727272727273</v>
      </c>
      <c r="L102" s="74">
        <f>K102/dose!$K$52</f>
        <v>47.272727272727273</v>
      </c>
    </row>
    <row r="103" spans="1:17" x14ac:dyDescent="0.2">
      <c r="A103" s="4" t="s">
        <v>13</v>
      </c>
      <c r="B103">
        <v>2</v>
      </c>
      <c r="C103">
        <v>2</v>
      </c>
      <c r="D103">
        <f t="shared" si="69"/>
        <v>2</v>
      </c>
      <c r="E103" s="4">
        <v>1</v>
      </c>
      <c r="F103" s="4">
        <f>1788.2-1730.2</f>
        <v>58</v>
      </c>
      <c r="G103" s="9">
        <f t="shared" si="71"/>
        <v>3.5376020021010439</v>
      </c>
      <c r="H103" s="3">
        <v>49</v>
      </c>
      <c r="I103" s="3">
        <v>50</v>
      </c>
      <c r="J103" s="3">
        <v>1</v>
      </c>
      <c r="K103">
        <f t="shared" si="70"/>
        <v>24.75</v>
      </c>
      <c r="L103" s="74">
        <f>K103/dose!$K$52</f>
        <v>24.75</v>
      </c>
    </row>
    <row r="104" spans="1:17" ht="17" x14ac:dyDescent="0.2">
      <c r="A104" s="5" t="s">
        <v>12</v>
      </c>
      <c r="B104" s="7">
        <v>1</v>
      </c>
      <c r="C104" s="7">
        <v>0</v>
      </c>
      <c r="D104">
        <f t="shared" si="69"/>
        <v>0.5</v>
      </c>
      <c r="E104" s="5">
        <v>1</v>
      </c>
      <c r="F104" s="5">
        <f>1802.5-1658.3</f>
        <v>144.20000000000005</v>
      </c>
      <c r="G104" s="9">
        <f t="shared" si="71"/>
        <v>2.5400047439526086</v>
      </c>
      <c r="H104" s="3">
        <v>5</v>
      </c>
      <c r="I104" s="3">
        <v>4</v>
      </c>
      <c r="J104" s="3">
        <v>1</v>
      </c>
      <c r="K104">
        <f t="shared" si="70"/>
        <v>9</v>
      </c>
      <c r="L104" s="74">
        <f>K104/dose!$K$52</f>
        <v>9</v>
      </c>
    </row>
    <row r="105" spans="1:17" s="25" customFormat="1" x14ac:dyDescent="0.2">
      <c r="A105" s="76"/>
      <c r="B105" s="77"/>
      <c r="C105" s="77"/>
      <c r="D105" s="78"/>
      <c r="E105" s="78"/>
      <c r="F105" s="78"/>
      <c r="G105" s="79"/>
      <c r="H105" s="80"/>
      <c r="I105" s="80"/>
      <c r="J105" s="80"/>
      <c r="K105" s="45"/>
      <c r="N105" s="75"/>
      <c r="Q105" s="83"/>
    </row>
    <row r="106" spans="1:17" ht="68" x14ac:dyDescent="0.2">
      <c r="A106" s="2" t="s">
        <v>56</v>
      </c>
      <c r="B106" s="137" t="s">
        <v>57</v>
      </c>
      <c r="C106" s="137"/>
      <c r="D106" s="5" t="s">
        <v>0</v>
      </c>
      <c r="E106" s="5" t="s">
        <v>3</v>
      </c>
      <c r="F106" s="5" t="s">
        <v>1</v>
      </c>
      <c r="G106" s="8" t="s">
        <v>2</v>
      </c>
      <c r="H106" s="138" t="s">
        <v>41</v>
      </c>
      <c r="I106" s="138"/>
      <c r="J106" s="44" t="s">
        <v>39</v>
      </c>
      <c r="K106" s="44" t="s">
        <v>47</v>
      </c>
      <c r="L106" s="5" t="s">
        <v>21</v>
      </c>
      <c r="M106" s="5" t="s">
        <v>22</v>
      </c>
      <c r="N106" s="73" t="s">
        <v>23</v>
      </c>
      <c r="P106" s="5" t="s">
        <v>62</v>
      </c>
    </row>
    <row r="107" spans="1:17" x14ac:dyDescent="0.2">
      <c r="A107" s="4" t="s">
        <v>10</v>
      </c>
      <c r="B107">
        <v>16</v>
      </c>
      <c r="C107">
        <v>21</v>
      </c>
      <c r="D107">
        <f>AVERAGE(B107:C107)</f>
        <v>18.5</v>
      </c>
      <c r="E107" s="4">
        <v>100</v>
      </c>
      <c r="F107" s="4">
        <f>1695-1683</f>
        <v>12</v>
      </c>
      <c r="G107" s="9">
        <f>LOG10(D107*100*E107/F107*1000)</f>
        <v>7.1879904823553886</v>
      </c>
      <c r="H107" s="3">
        <v>1</v>
      </c>
      <c r="J107" s="3">
        <v>1</v>
      </c>
      <c r="L107">
        <f>(AVERAGE(H107:I107)*J107)</f>
        <v>1</v>
      </c>
      <c r="M107">
        <f>L107/(D107*E107)</f>
        <v>5.4054054054054055E-4</v>
      </c>
      <c r="N107" s="74">
        <f>M107/dose!$K$55</f>
        <v>1.0810810810810811E-3</v>
      </c>
      <c r="P107">
        <f>((D107*E107)/(L107))/dose!$P$35</f>
        <v>896.969696969697</v>
      </c>
    </row>
    <row r="108" spans="1:17" x14ac:dyDescent="0.2">
      <c r="A108" s="4" t="s">
        <v>11</v>
      </c>
      <c r="B108">
        <v>27</v>
      </c>
      <c r="D108">
        <f t="shared" ref="D108:D111" si="72">AVERAGE(B108:C108)</f>
        <v>27</v>
      </c>
      <c r="E108" s="4">
        <v>1000</v>
      </c>
      <c r="F108" s="4">
        <f>1705.9-1687.8</f>
        <v>18.100000000000136</v>
      </c>
      <c r="G108" s="9">
        <f>LOG10(D108*100*E108/F108*1000)</f>
        <v>8.1736851892897988</v>
      </c>
      <c r="H108" s="3">
        <v>3</v>
      </c>
      <c r="J108" s="3">
        <v>1</v>
      </c>
      <c r="L108">
        <f t="shared" ref="L108:L109" si="73">(AVERAGE(H108:I108)*J108)</f>
        <v>3</v>
      </c>
      <c r="M108">
        <f t="shared" ref="M108" si="74">L108/(D108*E108)</f>
        <v>1.1111111111111112E-4</v>
      </c>
      <c r="N108" s="74">
        <f>M108/dose!$K$55</f>
        <v>2.2222222222222223E-4</v>
      </c>
      <c r="P108">
        <f>((D108*E108)/(L108))/dose!$P$35</f>
        <v>4363.636363636364</v>
      </c>
    </row>
    <row r="109" spans="1:17" x14ac:dyDescent="0.2">
      <c r="A109" s="4" t="s">
        <v>8</v>
      </c>
      <c r="B109">
        <v>13</v>
      </c>
      <c r="D109">
        <f t="shared" si="72"/>
        <v>13</v>
      </c>
      <c r="E109" s="4">
        <v>1000</v>
      </c>
      <c r="F109" s="4">
        <f>1822.2-1809</f>
        <v>13.200000000000045</v>
      </c>
      <c r="G109" s="9">
        <f t="shared" ref="G109:G111" si="75">LOG10(D109*100*E109/F109*1000)</f>
        <v>7.9933694211009856</v>
      </c>
      <c r="H109" s="3">
        <v>1</v>
      </c>
      <c r="J109" s="3">
        <v>1</v>
      </c>
      <c r="L109">
        <f t="shared" si="73"/>
        <v>1</v>
      </c>
      <c r="M109">
        <f>L109/(D109*E109)</f>
        <v>7.6923076923076926E-5</v>
      </c>
      <c r="N109" s="74">
        <f>M109/dose!$K$55</f>
        <v>1.5384615384615385E-4</v>
      </c>
      <c r="P109">
        <f>((D109*E109)/(L109))/dose!$P$35</f>
        <v>6303.030303030303</v>
      </c>
    </row>
    <row r="110" spans="1:17" x14ac:dyDescent="0.2">
      <c r="A110" s="4" t="s">
        <v>13</v>
      </c>
      <c r="B110">
        <v>23</v>
      </c>
      <c r="D110">
        <f t="shared" si="72"/>
        <v>23</v>
      </c>
      <c r="E110" s="4">
        <v>1000</v>
      </c>
      <c r="F110" s="4">
        <f>1799.3-1659.8</f>
        <v>139.5</v>
      </c>
      <c r="G110" s="9">
        <f t="shared" si="75"/>
        <v>7.2171536284079769</v>
      </c>
      <c r="K110" s="3">
        <v>0</v>
      </c>
      <c r="L110">
        <f>K110/10</f>
        <v>0</v>
      </c>
      <c r="M110">
        <f t="shared" ref="M110:M111" si="76">L110/(D110*E110)</f>
        <v>0</v>
      </c>
      <c r="N110" s="74">
        <f>M110/dose!$K$55</f>
        <v>0</v>
      </c>
      <c r="P110" t="e">
        <f>((D110*E110)/(L110))/dose!$P$35</f>
        <v>#DIV/0!</v>
      </c>
    </row>
    <row r="111" spans="1:17" ht="17" x14ac:dyDescent="0.2">
      <c r="A111" s="5" t="s">
        <v>12</v>
      </c>
      <c r="B111" s="7">
        <v>29</v>
      </c>
      <c r="C111" s="7"/>
      <c r="D111">
        <f t="shared" si="72"/>
        <v>29</v>
      </c>
      <c r="E111" s="5">
        <v>1</v>
      </c>
      <c r="F111" s="5">
        <f>1718.2-1652.8</f>
        <v>65.400000000000091</v>
      </c>
      <c r="G111" s="9">
        <f t="shared" si="75"/>
        <v>4.646820249574688</v>
      </c>
      <c r="K111" s="3">
        <v>0</v>
      </c>
      <c r="L111">
        <f>K111/10</f>
        <v>0</v>
      </c>
      <c r="M111">
        <f t="shared" si="76"/>
        <v>0</v>
      </c>
      <c r="N111" s="74">
        <f>M111/dose!$K$55</f>
        <v>0</v>
      </c>
      <c r="P111" t="e">
        <f>((D111*E111)/(L111))/dose!$P$35</f>
        <v>#DIV/0!</v>
      </c>
    </row>
    <row r="112" spans="1:17" x14ac:dyDescent="0.2">
      <c r="A112" s="11"/>
      <c r="B112" s="7"/>
      <c r="C112" s="7"/>
      <c r="D112" s="5"/>
      <c r="E112" s="5"/>
      <c r="F112" s="5"/>
      <c r="G112" s="8"/>
      <c r="H112" s="44"/>
      <c r="I112" s="44"/>
      <c r="J112" s="44"/>
      <c r="P112" t="e">
        <f>((D112*E112)/(L112))/dose!$P$35</f>
        <v>#DIV/0!</v>
      </c>
    </row>
    <row r="113" spans="1:16" ht="51" x14ac:dyDescent="0.2">
      <c r="A113" s="2" t="s">
        <v>58</v>
      </c>
      <c r="B113" s="137" t="s">
        <v>57</v>
      </c>
      <c r="C113" s="137"/>
      <c r="D113" s="5" t="s">
        <v>0</v>
      </c>
      <c r="E113" s="5" t="s">
        <v>3</v>
      </c>
      <c r="F113" s="5" t="s">
        <v>1</v>
      </c>
      <c r="G113" s="8" t="s">
        <v>2</v>
      </c>
      <c r="H113" s="138" t="s">
        <v>41</v>
      </c>
      <c r="I113" s="138"/>
      <c r="J113" s="44" t="s">
        <v>39</v>
      </c>
      <c r="K113" s="44" t="s">
        <v>47</v>
      </c>
      <c r="L113" s="5" t="s">
        <v>21</v>
      </c>
      <c r="M113" s="5" t="s">
        <v>22</v>
      </c>
      <c r="N113" s="73" t="s">
        <v>23</v>
      </c>
      <c r="P113" t="e">
        <f>((D113*E113)/(L113))/dose!$P$35</f>
        <v>#VALUE!</v>
      </c>
    </row>
    <row r="114" spans="1:16" x14ac:dyDescent="0.2">
      <c r="A114" s="4" t="s">
        <v>10</v>
      </c>
      <c r="B114">
        <v>34</v>
      </c>
      <c r="C114">
        <v>39</v>
      </c>
      <c r="D114">
        <f>AVERAGE(B114:C114)</f>
        <v>36.5</v>
      </c>
      <c r="E114" s="4">
        <v>1000</v>
      </c>
      <c r="F114" s="4">
        <f>1653.4-1621.2</f>
        <v>32.200000000000045</v>
      </c>
      <c r="G114" s="9">
        <f>LOG10(D114*100*E114/F114*1000)</f>
        <v>8.0544369927606425</v>
      </c>
      <c r="H114" s="3">
        <v>21</v>
      </c>
      <c r="J114" s="3">
        <v>10</v>
      </c>
      <c r="L114">
        <f>(AVERAGE(H114:I114)*J114)</f>
        <v>210</v>
      </c>
      <c r="M114">
        <f>L114/(D114*E114)</f>
        <v>5.7534246575342467E-3</v>
      </c>
      <c r="N114" s="74">
        <f>M114/dose!$K$55</f>
        <v>1.1506849315068493E-2</v>
      </c>
      <c r="P114">
        <f>((D114*E114)/(L114))/dose!$P$35</f>
        <v>84.271284271284259</v>
      </c>
    </row>
    <row r="115" spans="1:16" x14ac:dyDescent="0.2">
      <c r="A115" s="4" t="s">
        <v>11</v>
      </c>
      <c r="B115">
        <v>11</v>
      </c>
      <c r="D115">
        <f t="shared" ref="D115:D118" si="77">AVERAGE(B115:C115)</f>
        <v>11</v>
      </c>
      <c r="E115" s="4">
        <v>10000</v>
      </c>
      <c r="F115" s="4">
        <f>1688-1650.4</f>
        <v>37.599999999999909</v>
      </c>
      <c r="G115" s="9">
        <f>LOG10(D115*100*E115/F115*1000)</f>
        <v>8.4662048402305654</v>
      </c>
      <c r="H115" s="3">
        <v>18</v>
      </c>
      <c r="J115" s="3">
        <v>1</v>
      </c>
      <c r="L115">
        <f t="shared" ref="L115:L116" si="78">(AVERAGE(H115:I115)*J115)</f>
        <v>18</v>
      </c>
      <c r="M115">
        <f t="shared" ref="M115" si="79">L115/(D115*E115)</f>
        <v>1.6363636363636363E-4</v>
      </c>
      <c r="N115" s="74">
        <f>M115/dose!$K$55</f>
        <v>3.2727272727272726E-4</v>
      </c>
      <c r="P115">
        <f>((D115*E115)/(L115))/dose!$P$35</f>
        <v>2962.962962962963</v>
      </c>
    </row>
    <row r="116" spans="1:16" x14ac:dyDescent="0.2">
      <c r="A116" s="4" t="s">
        <v>8</v>
      </c>
      <c r="B116">
        <v>17</v>
      </c>
      <c r="D116">
        <f t="shared" si="77"/>
        <v>17</v>
      </c>
      <c r="E116" s="4">
        <v>1000</v>
      </c>
      <c r="F116" s="4">
        <f>1822.4-1803.8</f>
        <v>18.600000000000136</v>
      </c>
      <c r="G116" s="9">
        <f t="shared" ref="G116:G118" si="80">LOG10(D116*100*E116/F116*1000)</f>
        <v>7.9609359771603545</v>
      </c>
      <c r="H116" s="3">
        <v>1</v>
      </c>
      <c r="J116" s="3">
        <v>1</v>
      </c>
      <c r="L116">
        <f t="shared" si="78"/>
        <v>1</v>
      </c>
      <c r="M116">
        <f>L116/(D116*E116)</f>
        <v>5.8823529411764708E-5</v>
      </c>
      <c r="N116" s="74">
        <f>M116/dose!$K$55</f>
        <v>1.1764705882352942E-4</v>
      </c>
      <c r="P116">
        <f>((D116*E116)/(L116))/dose!$P$35</f>
        <v>8242.424242424242</v>
      </c>
    </row>
    <row r="117" spans="1:16" x14ac:dyDescent="0.2">
      <c r="A117" s="4" t="s">
        <v>13</v>
      </c>
      <c r="B117">
        <v>6</v>
      </c>
      <c r="D117">
        <f t="shared" si="77"/>
        <v>6</v>
      </c>
      <c r="E117" s="4">
        <v>1000</v>
      </c>
      <c r="F117" s="4">
        <f>1942-1813.4</f>
        <v>128.59999999999991</v>
      </c>
      <c r="G117" s="9">
        <f t="shared" si="80"/>
        <v>6.6689102817954407</v>
      </c>
      <c r="K117" s="3">
        <v>0</v>
      </c>
      <c r="L117">
        <f>K117/10</f>
        <v>0</v>
      </c>
      <c r="M117">
        <f t="shared" ref="M117:M118" si="81">L117/(D117*E117)</f>
        <v>0</v>
      </c>
      <c r="N117" s="74">
        <f>M117/dose!$K$55</f>
        <v>0</v>
      </c>
      <c r="P117" t="e">
        <f>((D117*E117)/(L117))/dose!$P$35</f>
        <v>#DIV/0!</v>
      </c>
    </row>
    <row r="118" spans="1:16" ht="17" x14ac:dyDescent="0.2">
      <c r="A118" s="5" t="s">
        <v>12</v>
      </c>
      <c r="B118" s="7">
        <v>5</v>
      </c>
      <c r="C118" s="7"/>
      <c r="D118">
        <f t="shared" si="77"/>
        <v>5</v>
      </c>
      <c r="E118" s="5">
        <v>1</v>
      </c>
      <c r="F118" s="5">
        <f>1858.8-1739.1</f>
        <v>119.70000000000005</v>
      </c>
      <c r="G118" s="9">
        <f t="shared" si="80"/>
        <v>3.6208758539296078</v>
      </c>
      <c r="K118" s="3">
        <v>0</v>
      </c>
      <c r="L118">
        <f>K118/10</f>
        <v>0</v>
      </c>
      <c r="M118">
        <f t="shared" si="81"/>
        <v>0</v>
      </c>
      <c r="N118" s="74">
        <f>M118/dose!$K$55</f>
        <v>0</v>
      </c>
      <c r="P118" t="e">
        <f>((D118*E118)/(L118))/dose!$P$35</f>
        <v>#DIV/0!</v>
      </c>
    </row>
    <row r="119" spans="1:16" x14ac:dyDescent="0.2">
      <c r="A119" s="4"/>
      <c r="E119" s="4"/>
      <c r="F119" s="4"/>
      <c r="G119" s="9"/>
      <c r="P119" t="e">
        <f>((D119*E119)/(L119))/dose!$P$35</f>
        <v>#DIV/0!</v>
      </c>
    </row>
    <row r="120" spans="1:16" ht="51" x14ac:dyDescent="0.2">
      <c r="A120" s="2" t="s">
        <v>59</v>
      </c>
      <c r="B120" s="137" t="s">
        <v>57</v>
      </c>
      <c r="C120" s="137"/>
      <c r="D120" s="5" t="s">
        <v>0</v>
      </c>
      <c r="E120" s="5" t="s">
        <v>3</v>
      </c>
      <c r="F120" s="5" t="s">
        <v>1</v>
      </c>
      <c r="G120" s="8" t="s">
        <v>2</v>
      </c>
      <c r="H120" s="138" t="s">
        <v>41</v>
      </c>
      <c r="I120" s="138"/>
      <c r="J120" s="44" t="s">
        <v>39</v>
      </c>
      <c r="K120" s="44" t="s">
        <v>47</v>
      </c>
      <c r="L120" s="5" t="s">
        <v>21</v>
      </c>
      <c r="M120" s="5" t="s">
        <v>22</v>
      </c>
      <c r="N120" s="73" t="s">
        <v>23</v>
      </c>
      <c r="P120" t="e">
        <f>((D120*E120)/(L120))/dose!$P$35</f>
        <v>#VALUE!</v>
      </c>
    </row>
    <row r="121" spans="1:16" x14ac:dyDescent="0.2">
      <c r="A121" s="4" t="s">
        <v>10</v>
      </c>
      <c r="B121">
        <v>33</v>
      </c>
      <c r="C121">
        <v>36</v>
      </c>
      <c r="D121">
        <f>AVERAGE(B121:C121)</f>
        <v>34.5</v>
      </c>
      <c r="E121" s="4">
        <v>1000</v>
      </c>
      <c r="F121" s="4">
        <f>1686.5-1663.2</f>
        <v>23.299999999999955</v>
      </c>
      <c r="G121" s="9">
        <f>LOG10(D121*100*E121/F121*1000)</f>
        <v>8.1704631740472564</v>
      </c>
      <c r="H121" s="3">
        <v>1</v>
      </c>
      <c r="I121" s="3">
        <v>3</v>
      </c>
      <c r="J121" s="3">
        <v>1000</v>
      </c>
      <c r="L121">
        <f>(AVERAGE(H121:I121)*J121)</f>
        <v>2000</v>
      </c>
      <c r="M121">
        <f>L121/(D121*E121)</f>
        <v>5.7971014492753624E-2</v>
      </c>
      <c r="N121" s="74">
        <f>M121/dose!$K$55</f>
        <v>0.11594202898550725</v>
      </c>
      <c r="P121">
        <f>((D121*E121)/(L121))/dose!$P$35</f>
        <v>8.3636363636363633</v>
      </c>
    </row>
    <row r="122" spans="1:16" x14ac:dyDescent="0.2">
      <c r="A122" s="4" t="s">
        <v>11</v>
      </c>
      <c r="B122">
        <v>6</v>
      </c>
      <c r="D122">
        <f t="shared" ref="D122:D125" si="82">AVERAGE(B122:C122)</f>
        <v>6</v>
      </c>
      <c r="E122" s="4">
        <v>10000</v>
      </c>
      <c r="F122" s="4">
        <f>1743.1-1696.1</f>
        <v>47</v>
      </c>
      <c r="G122" s="9">
        <f>LOG10(D122*100*E122/F122*1000)</f>
        <v>8.1060533924479259</v>
      </c>
      <c r="H122" s="3">
        <v>24</v>
      </c>
      <c r="J122" s="3">
        <v>10</v>
      </c>
      <c r="L122">
        <f>(AVERAGE(H122:I122)*J122)</f>
        <v>240</v>
      </c>
      <c r="M122">
        <f t="shared" ref="M122" si="83">L122/(D122*E122)</f>
        <v>4.0000000000000001E-3</v>
      </c>
      <c r="N122" s="74">
        <f>M122/dose!$K$55</f>
        <v>8.0000000000000002E-3</v>
      </c>
      <c r="P122">
        <f>((D122*E122)/(L122))/dose!$P$35</f>
        <v>121.21212121212122</v>
      </c>
    </row>
    <row r="123" spans="1:16" x14ac:dyDescent="0.2">
      <c r="A123" s="4" t="s">
        <v>8</v>
      </c>
      <c r="B123">
        <v>14</v>
      </c>
      <c r="D123">
        <f t="shared" si="82"/>
        <v>14</v>
      </c>
      <c r="E123" s="4">
        <v>1000</v>
      </c>
      <c r="F123" s="4">
        <f>1717-1713.4</f>
        <v>3.5999999999999091</v>
      </c>
      <c r="G123" s="9">
        <f t="shared" ref="G123:G125" si="84">LOG10(D123*100*E123/F123*1000)</f>
        <v>8.5898255349109611</v>
      </c>
      <c r="H123" s="3">
        <v>9</v>
      </c>
      <c r="J123" s="3">
        <v>1</v>
      </c>
      <c r="L123">
        <f t="shared" ref="L123" si="85">(AVERAGE(H123:I123)*J123)</f>
        <v>9</v>
      </c>
      <c r="M123">
        <f>L123/(D123*E123)</f>
        <v>6.4285714285714282E-4</v>
      </c>
      <c r="N123" s="74">
        <f>M123/dose!$K$55</f>
        <v>1.2857142857142856E-3</v>
      </c>
      <c r="P123">
        <f>((D123*E123)/(L123))/dose!$P$35</f>
        <v>754.20875420875427</v>
      </c>
    </row>
    <row r="124" spans="1:16" x14ac:dyDescent="0.2">
      <c r="A124" s="4" t="s">
        <v>13</v>
      </c>
      <c r="B124">
        <v>13</v>
      </c>
      <c r="D124">
        <f t="shared" si="82"/>
        <v>13</v>
      </c>
      <c r="E124" s="4">
        <v>1000</v>
      </c>
      <c r="F124" s="4">
        <f>1857.2-1800.8</f>
        <v>56.400000000000091</v>
      </c>
      <c r="G124" s="9">
        <f t="shared" si="84"/>
        <v>7.3626642483234939</v>
      </c>
      <c r="K124" s="3">
        <v>24</v>
      </c>
      <c r="L124">
        <f>K124/10</f>
        <v>2.4</v>
      </c>
      <c r="M124">
        <f t="shared" ref="M124:M125" si="86">L124/(D124*E124)</f>
        <v>1.8461538461538461E-4</v>
      </c>
      <c r="N124" s="74">
        <f>M124/dose!$K$55</f>
        <v>3.6923076923076921E-4</v>
      </c>
      <c r="P124">
        <f>((D124*E124)/(L124))/dose!$P$35</f>
        <v>2626.2626262626263</v>
      </c>
    </row>
    <row r="125" spans="1:16" ht="17" x14ac:dyDescent="0.2">
      <c r="A125" s="5" t="s">
        <v>12</v>
      </c>
      <c r="B125" s="7">
        <v>15</v>
      </c>
      <c r="C125" s="7"/>
      <c r="D125">
        <f t="shared" si="82"/>
        <v>15</v>
      </c>
      <c r="E125" s="5">
        <v>1</v>
      </c>
      <c r="F125" s="5">
        <f>1866.1-1740.4</f>
        <v>125.69999999999982</v>
      </c>
      <c r="G125" s="9">
        <f t="shared" si="84"/>
        <v>4.0767559813697245</v>
      </c>
      <c r="K125" s="3">
        <v>0</v>
      </c>
      <c r="L125">
        <f>K125/10</f>
        <v>0</v>
      </c>
      <c r="M125">
        <f t="shared" si="86"/>
        <v>0</v>
      </c>
      <c r="N125" s="74">
        <f>M125/dose!$K$55</f>
        <v>0</v>
      </c>
      <c r="P125" t="e">
        <f>((D125*E125)/(L125))/dose!$P$35</f>
        <v>#DIV/0!</v>
      </c>
    </row>
    <row r="126" spans="1:16" x14ac:dyDescent="0.2">
      <c r="A126" s="4"/>
      <c r="E126" s="4"/>
      <c r="F126" s="4"/>
      <c r="G126" s="9"/>
      <c r="P126" t="e">
        <f>((D126*E126)/(L126))/dose!$P$35</f>
        <v>#DIV/0!</v>
      </c>
    </row>
    <row r="127" spans="1:16" ht="51" x14ac:dyDescent="0.2">
      <c r="A127" s="2" t="s">
        <v>60</v>
      </c>
      <c r="B127" s="137" t="s">
        <v>57</v>
      </c>
      <c r="C127" s="137"/>
      <c r="D127" s="5" t="s">
        <v>0</v>
      </c>
      <c r="E127" s="5" t="s">
        <v>3</v>
      </c>
      <c r="F127" s="5" t="s">
        <v>1</v>
      </c>
      <c r="G127" s="8" t="s">
        <v>2</v>
      </c>
      <c r="H127" s="138" t="s">
        <v>41</v>
      </c>
      <c r="I127" s="138"/>
      <c r="J127" s="44" t="s">
        <v>39</v>
      </c>
      <c r="K127" s="44" t="s">
        <v>47</v>
      </c>
      <c r="L127" s="5" t="s">
        <v>21</v>
      </c>
      <c r="M127" s="5" t="s">
        <v>22</v>
      </c>
      <c r="N127" s="73" t="s">
        <v>23</v>
      </c>
      <c r="P127" t="e">
        <f>((D127*E127)/(L127))/dose!$P$35</f>
        <v>#VALUE!</v>
      </c>
    </row>
    <row r="128" spans="1:16" x14ac:dyDescent="0.2">
      <c r="A128" s="4" t="s">
        <v>10</v>
      </c>
      <c r="B128">
        <v>38</v>
      </c>
      <c r="C128">
        <v>27</v>
      </c>
      <c r="D128">
        <f>AVERAGE(B128:C128)</f>
        <v>32.5</v>
      </c>
      <c r="E128" s="4">
        <v>1000</v>
      </c>
      <c r="F128" s="4">
        <f>1704.6-1683.3</f>
        <v>21.299999999999955</v>
      </c>
      <c r="G128" s="9">
        <f>LOG10(D128*100*E128/F128*1000)</f>
        <v>8.1835037575401373</v>
      </c>
      <c r="H128" s="3">
        <v>5</v>
      </c>
      <c r="I128" s="3">
        <v>10</v>
      </c>
      <c r="J128" s="3">
        <v>1000</v>
      </c>
      <c r="L128">
        <f>(AVERAGE(H128:I128)*J128)</f>
        <v>7500</v>
      </c>
      <c r="M128">
        <f>L128/(D128*E128)</f>
        <v>0.23076923076923078</v>
      </c>
      <c r="N128" s="74">
        <f>M128/dose!$K$55</f>
        <v>0.46153846153846156</v>
      </c>
      <c r="P128">
        <f>((D128*E128)/(L128))/dose!$P$35</f>
        <v>2.1010101010101008</v>
      </c>
    </row>
    <row r="129" spans="1:17" x14ac:dyDescent="0.2">
      <c r="A129" s="4" t="s">
        <v>11</v>
      </c>
      <c r="B129">
        <v>61</v>
      </c>
      <c r="D129">
        <f t="shared" ref="D129:D132" si="87">AVERAGE(B129:C129)</f>
        <v>61</v>
      </c>
      <c r="E129" s="4">
        <v>1000</v>
      </c>
      <c r="F129" s="4">
        <f>1715.8-1687.5</f>
        <v>28.299999999999955</v>
      </c>
      <c r="G129" s="9">
        <f>LOG10(D129*100*E129/F129*1000)</f>
        <v>8.3335433994864783</v>
      </c>
      <c r="H129" s="3">
        <v>3</v>
      </c>
      <c r="J129" s="3">
        <v>1000</v>
      </c>
      <c r="L129">
        <f t="shared" ref="L129:L131" si="88">(AVERAGE(H129:I129)*J129)</f>
        <v>3000</v>
      </c>
      <c r="M129">
        <f t="shared" ref="M129" si="89">L129/(D129*E129)</f>
        <v>4.9180327868852458E-2</v>
      </c>
      <c r="N129" s="74">
        <f>M129/dose!$K$55</f>
        <v>9.8360655737704916E-2</v>
      </c>
      <c r="P129">
        <f>((D129*E129)/(L129))/dose!$P$35</f>
        <v>9.8585858585858581</v>
      </c>
    </row>
    <row r="130" spans="1:17" ht="17" customHeight="1" x14ac:dyDescent="0.2">
      <c r="A130" s="4" t="s">
        <v>8</v>
      </c>
      <c r="B130">
        <v>45</v>
      </c>
      <c r="D130">
        <f t="shared" si="87"/>
        <v>45</v>
      </c>
      <c r="E130" s="4">
        <v>1000</v>
      </c>
      <c r="F130" s="4">
        <f>1744.9-1725.2</f>
        <v>19.700000000000045</v>
      </c>
      <c r="G130" s="9">
        <f t="shared" ref="G130:G132" si="90">LOG10(D130*100*E130/F130*1000)</f>
        <v>8.3587462876137497</v>
      </c>
      <c r="H130" s="3">
        <v>46</v>
      </c>
      <c r="J130" s="3">
        <v>100</v>
      </c>
      <c r="L130">
        <f t="shared" si="88"/>
        <v>4600</v>
      </c>
      <c r="M130">
        <f>L130/(D130*E130)</f>
        <v>0.10222222222222223</v>
      </c>
      <c r="N130" s="74">
        <f>M130/dose!$K$55</f>
        <v>0.20444444444444446</v>
      </c>
      <c r="P130">
        <f>((D130*E130)/(L130))/dose!$P$35</f>
        <v>4.7430830039525693</v>
      </c>
    </row>
    <row r="131" spans="1:17" x14ac:dyDescent="0.2">
      <c r="A131" s="4" t="s">
        <v>13</v>
      </c>
      <c r="B131">
        <v>10</v>
      </c>
      <c r="D131">
        <f t="shared" si="87"/>
        <v>10</v>
      </c>
      <c r="E131" s="4">
        <v>1000</v>
      </c>
      <c r="F131" s="4">
        <f>1725.8-1677.3</f>
        <v>48.5</v>
      </c>
      <c r="G131" s="9">
        <f t="shared" si="90"/>
        <v>7.314258261397736</v>
      </c>
      <c r="H131" s="3">
        <v>44</v>
      </c>
      <c r="J131" s="3">
        <v>1</v>
      </c>
      <c r="L131">
        <f t="shared" si="88"/>
        <v>44</v>
      </c>
      <c r="M131">
        <f t="shared" ref="M131:M132" si="91">L131/(D131*E131)</f>
        <v>4.4000000000000003E-3</v>
      </c>
      <c r="N131" s="74">
        <f>M131/dose!$K$55</f>
        <v>8.8000000000000005E-3</v>
      </c>
      <c r="P131">
        <f>((D131*E131)/(L131))/dose!$P$35</f>
        <v>110.19283746556474</v>
      </c>
    </row>
    <row r="132" spans="1:17" ht="17" x14ac:dyDescent="0.2">
      <c r="A132" s="5" t="s">
        <v>12</v>
      </c>
      <c r="B132" s="7">
        <v>18</v>
      </c>
      <c r="C132" s="7"/>
      <c r="D132">
        <f t="shared" si="87"/>
        <v>18</v>
      </c>
      <c r="E132" s="5">
        <v>1</v>
      </c>
      <c r="F132" s="5">
        <f>1854-1740.4</f>
        <v>113.59999999999991</v>
      </c>
      <c r="G132" s="9">
        <f t="shared" si="90"/>
        <v>4.199894173728306</v>
      </c>
      <c r="K132" s="3">
        <v>0</v>
      </c>
      <c r="L132">
        <f>K132/10</f>
        <v>0</v>
      </c>
      <c r="M132">
        <f t="shared" si="91"/>
        <v>0</v>
      </c>
      <c r="N132" s="74">
        <f>M132/dose!$K$55</f>
        <v>0</v>
      </c>
      <c r="P132" t="e">
        <f>((D132*E132)/(L132))/dose!$P$35</f>
        <v>#DIV/0!</v>
      </c>
    </row>
    <row r="133" spans="1:17" x14ac:dyDescent="0.2">
      <c r="A133" s="4"/>
      <c r="E133" s="4"/>
      <c r="F133" s="4"/>
      <c r="G133" s="9"/>
      <c r="P133" t="e">
        <f>((D133*E133)/(L133))/dose!$P$35</f>
        <v>#DIV/0!</v>
      </c>
    </row>
    <row r="134" spans="1:17" ht="51" x14ac:dyDescent="0.2">
      <c r="A134" s="2" t="s">
        <v>55</v>
      </c>
      <c r="B134" s="137" t="s">
        <v>57</v>
      </c>
      <c r="C134" s="137"/>
      <c r="D134" s="5" t="s">
        <v>0</v>
      </c>
      <c r="E134" s="5" t="s">
        <v>3</v>
      </c>
      <c r="F134" s="5" t="s">
        <v>1</v>
      </c>
      <c r="G134" s="8" t="s">
        <v>2</v>
      </c>
      <c r="H134" s="138" t="s">
        <v>41</v>
      </c>
      <c r="I134" s="138"/>
      <c r="J134" s="44" t="s">
        <v>39</v>
      </c>
      <c r="K134" s="44" t="s">
        <v>47</v>
      </c>
      <c r="L134" s="5" t="s">
        <v>21</v>
      </c>
      <c r="M134" s="5" t="s">
        <v>22</v>
      </c>
      <c r="N134" s="73" t="s">
        <v>23</v>
      </c>
      <c r="P134" t="e">
        <f>((D134*E134)/(L134))/dose!$P$35</f>
        <v>#VALUE!</v>
      </c>
    </row>
    <row r="135" spans="1:17" x14ac:dyDescent="0.2">
      <c r="A135" s="4" t="s">
        <v>10</v>
      </c>
      <c r="B135">
        <v>0</v>
      </c>
      <c r="D135">
        <f>AVERAGE(B135:C135)</f>
        <v>0</v>
      </c>
      <c r="E135" s="4">
        <v>1</v>
      </c>
      <c r="F135" s="4">
        <f>1691.6-1667.1</f>
        <v>24.5</v>
      </c>
      <c r="G135" s="9" t="e">
        <f>LOG10(D135*100*E135/F135*1000)</f>
        <v>#NUM!</v>
      </c>
      <c r="H135" s="3">
        <v>0</v>
      </c>
      <c r="J135" s="3">
        <v>1</v>
      </c>
      <c r="L135">
        <f>(AVERAGE(H135:I135)*J135)</f>
        <v>0</v>
      </c>
      <c r="M135" t="e">
        <f>L135/(D135*E135)</f>
        <v>#DIV/0!</v>
      </c>
      <c r="N135" s="74" t="e">
        <f>M135/dose!$K$55</f>
        <v>#DIV/0!</v>
      </c>
      <c r="P135" t="e">
        <f>((D135*E135)/(L135))/dose!$P$35</f>
        <v>#DIV/0!</v>
      </c>
    </row>
    <row r="136" spans="1:17" x14ac:dyDescent="0.2">
      <c r="A136" s="4" t="s">
        <v>11</v>
      </c>
      <c r="B136">
        <v>0</v>
      </c>
      <c r="D136">
        <f t="shared" ref="D136:D139" si="92">AVERAGE(B136:C136)</f>
        <v>0</v>
      </c>
      <c r="E136" s="4">
        <v>1</v>
      </c>
      <c r="F136" s="4">
        <f>1792.5-1730.8</f>
        <v>61.700000000000045</v>
      </c>
      <c r="G136" s="9" t="e">
        <f>LOG10(D136*100*E136/F136*1000)</f>
        <v>#NUM!</v>
      </c>
      <c r="H136" s="3">
        <v>0</v>
      </c>
      <c r="J136" s="3">
        <v>1</v>
      </c>
      <c r="L136">
        <f t="shared" ref="L136:L137" si="93">(AVERAGE(H136:I136)*J136)</f>
        <v>0</v>
      </c>
      <c r="M136" t="e">
        <f t="shared" ref="M136" si="94">L136/(D136*E136)</f>
        <v>#DIV/0!</v>
      </c>
      <c r="N136" s="74" t="e">
        <f>M136/dose!$K$55</f>
        <v>#DIV/0!</v>
      </c>
      <c r="P136" t="e">
        <f>((D136*E136)/(L136))/dose!$P$35</f>
        <v>#DIV/0!</v>
      </c>
    </row>
    <row r="137" spans="1:17" x14ac:dyDescent="0.2">
      <c r="A137" s="4" t="s">
        <v>8</v>
      </c>
      <c r="B137">
        <v>0</v>
      </c>
      <c r="D137">
        <f t="shared" si="92"/>
        <v>0</v>
      </c>
      <c r="E137" s="4">
        <v>1</v>
      </c>
      <c r="F137" s="4">
        <f>1890.9-1804.2</f>
        <v>86.700000000000045</v>
      </c>
      <c r="G137" s="9" t="e">
        <f t="shared" ref="G137:G139" si="95">LOG10(D137*100*E137/F137*1000)</f>
        <v>#NUM!</v>
      </c>
      <c r="H137" s="3">
        <v>0</v>
      </c>
      <c r="J137" s="3">
        <v>1</v>
      </c>
      <c r="L137">
        <f t="shared" si="93"/>
        <v>0</v>
      </c>
      <c r="M137" t="e">
        <f>L137/(D137*E137)</f>
        <v>#DIV/0!</v>
      </c>
      <c r="N137" s="74" t="e">
        <f>M137/dose!$K$55</f>
        <v>#DIV/0!</v>
      </c>
      <c r="P137" t="e">
        <f>((D137*E137)/(L137))/dose!$P$35</f>
        <v>#DIV/0!</v>
      </c>
    </row>
    <row r="138" spans="1:17" x14ac:dyDescent="0.2">
      <c r="A138" s="4" t="s">
        <v>13</v>
      </c>
      <c r="B138">
        <v>0</v>
      </c>
      <c r="D138">
        <f t="shared" si="92"/>
        <v>0</v>
      </c>
      <c r="E138" s="4">
        <v>1</v>
      </c>
      <c r="F138" s="4">
        <f>1699.8-1662.8</f>
        <v>37</v>
      </c>
      <c r="G138" s="9" t="e">
        <f t="shared" si="95"/>
        <v>#NUM!</v>
      </c>
      <c r="H138" s="3">
        <v>0</v>
      </c>
      <c r="J138" s="3">
        <v>1</v>
      </c>
      <c r="L138">
        <f>K138/10</f>
        <v>0</v>
      </c>
      <c r="M138" t="e">
        <f t="shared" ref="M138:M139" si="96">L138/(D138*E138)</f>
        <v>#DIV/0!</v>
      </c>
      <c r="N138" s="74" t="e">
        <f>M138/dose!$K$55</f>
        <v>#DIV/0!</v>
      </c>
      <c r="P138" t="e">
        <f>((D138*E138)/(L138))/dose!$P$35</f>
        <v>#DIV/0!</v>
      </c>
    </row>
    <row r="139" spans="1:17" ht="17" x14ac:dyDescent="0.2">
      <c r="A139" s="5" t="s">
        <v>12</v>
      </c>
      <c r="B139" s="7">
        <v>0</v>
      </c>
      <c r="C139" s="7">
        <v>0</v>
      </c>
      <c r="D139">
        <f t="shared" si="92"/>
        <v>0</v>
      </c>
      <c r="E139" s="5">
        <v>1</v>
      </c>
      <c r="F139" s="5">
        <f>1787-1739.4</f>
        <v>47.599999999999909</v>
      </c>
      <c r="G139" s="9" t="e">
        <f t="shared" si="95"/>
        <v>#NUM!</v>
      </c>
      <c r="H139" s="3">
        <v>0</v>
      </c>
      <c r="J139" s="3">
        <v>1</v>
      </c>
      <c r="L139">
        <f>K139/10</f>
        <v>0</v>
      </c>
      <c r="M139" t="e">
        <f t="shared" si="96"/>
        <v>#DIV/0!</v>
      </c>
      <c r="N139" s="74" t="e">
        <f>M139/dose!$K$55</f>
        <v>#DIV/0!</v>
      </c>
      <c r="P139" t="e">
        <f>((D139*E139)/(L139))/dose!$P$35</f>
        <v>#DIV/0!</v>
      </c>
    </row>
    <row r="140" spans="1:17" s="25" customFormat="1" x14ac:dyDescent="0.2">
      <c r="A140" s="27"/>
      <c r="B140" s="28"/>
      <c r="C140" s="28"/>
      <c r="E140" s="27"/>
      <c r="F140" s="27"/>
      <c r="G140" s="26"/>
      <c r="H140" s="45"/>
      <c r="I140" s="45"/>
      <c r="J140" s="45"/>
      <c r="K140" s="45"/>
      <c r="N140" s="75"/>
      <c r="Q140" s="83"/>
    </row>
    <row r="141" spans="1:17" x14ac:dyDescent="0.2">
      <c r="A141" s="2"/>
      <c r="B141" s="7"/>
      <c r="C141" s="7"/>
      <c r="D141" s="5"/>
      <c r="E141" s="5"/>
      <c r="F141" s="5"/>
      <c r="G141" s="8"/>
      <c r="H141" s="44"/>
      <c r="I141" s="44"/>
      <c r="J141" s="44"/>
    </row>
    <row r="142" spans="1:17" x14ac:dyDescent="0.2">
      <c r="A142" s="4"/>
      <c r="E142" s="4"/>
      <c r="F142" s="4"/>
      <c r="G142" s="9"/>
    </row>
    <row r="143" spans="1:17" x14ac:dyDescent="0.2">
      <c r="A143" s="4"/>
      <c r="E143" s="4"/>
      <c r="F143" s="4"/>
      <c r="G143" s="9"/>
    </row>
    <row r="144" spans="1:17" x14ac:dyDescent="0.2">
      <c r="A144" s="4"/>
      <c r="E144" s="4"/>
      <c r="F144" s="4"/>
      <c r="G144" s="9"/>
    </row>
    <row r="145" spans="1:10" x14ac:dyDescent="0.2">
      <c r="A145" s="4"/>
      <c r="E145" s="4"/>
      <c r="F145" s="4"/>
      <c r="G145" s="9"/>
    </row>
    <row r="146" spans="1:10" x14ac:dyDescent="0.2">
      <c r="A146" s="5"/>
      <c r="B146" s="7"/>
      <c r="C146" s="7"/>
      <c r="E146" s="5"/>
      <c r="F146" s="5"/>
      <c r="G146" s="9"/>
    </row>
    <row r="147" spans="1:10" x14ac:dyDescent="0.2">
      <c r="A147" s="4"/>
      <c r="E147" s="4"/>
      <c r="F147" s="4"/>
      <c r="G147" s="9"/>
    </row>
    <row r="148" spans="1:10" x14ac:dyDescent="0.2">
      <c r="A148" s="2"/>
      <c r="B148" s="7"/>
      <c r="C148" s="7"/>
      <c r="D148" s="5"/>
      <c r="E148" s="5"/>
      <c r="F148" s="5"/>
      <c r="G148" s="8"/>
      <c r="H148" s="44"/>
      <c r="I148" s="44"/>
      <c r="J148" s="44"/>
    </row>
    <row r="149" spans="1:10" x14ac:dyDescent="0.2">
      <c r="A149" s="4"/>
      <c r="E149" s="4"/>
      <c r="F149" s="4"/>
      <c r="G149" s="9"/>
    </row>
    <row r="150" spans="1:10" x14ac:dyDescent="0.2">
      <c r="A150" s="4"/>
      <c r="E150" s="4"/>
      <c r="F150" s="4"/>
      <c r="G150" s="9"/>
    </row>
    <row r="151" spans="1:10" x14ac:dyDescent="0.2">
      <c r="A151" s="4"/>
      <c r="E151" s="4"/>
      <c r="F151" s="4"/>
      <c r="G151" s="9"/>
    </row>
    <row r="152" spans="1:10" x14ac:dyDescent="0.2">
      <c r="A152" s="4"/>
      <c r="E152" s="4"/>
      <c r="F152" s="4"/>
      <c r="G152" s="9"/>
    </row>
    <row r="153" spans="1:10" x14ac:dyDescent="0.2">
      <c r="A153" s="5"/>
      <c r="B153" s="7"/>
      <c r="C153" s="7"/>
      <c r="E153" s="5"/>
      <c r="F153" s="5"/>
      <c r="G153" s="9"/>
    </row>
    <row r="154" spans="1:10" x14ac:dyDescent="0.2">
      <c r="A154" s="4"/>
      <c r="E154" s="4"/>
      <c r="F154" s="4"/>
      <c r="G154" s="9"/>
    </row>
    <row r="155" spans="1:10" x14ac:dyDescent="0.2">
      <c r="A155" s="2"/>
      <c r="B155" s="7"/>
      <c r="C155" s="7"/>
      <c r="D155" s="5"/>
      <c r="E155" s="5"/>
      <c r="F155" s="5"/>
      <c r="G155" s="8"/>
      <c r="H155" s="44"/>
      <c r="I155" s="44"/>
      <c r="J155" s="44"/>
    </row>
    <row r="156" spans="1:10" x14ac:dyDescent="0.2">
      <c r="A156" s="4"/>
      <c r="E156" s="4"/>
      <c r="F156" s="4"/>
      <c r="G156" s="9"/>
    </row>
    <row r="157" spans="1:10" x14ac:dyDescent="0.2">
      <c r="A157" s="4"/>
      <c r="E157" s="4"/>
      <c r="F157" s="4"/>
      <c r="G157" s="9"/>
    </row>
    <row r="158" spans="1:10" x14ac:dyDescent="0.2">
      <c r="A158" s="4"/>
      <c r="E158" s="4"/>
      <c r="F158" s="4"/>
      <c r="G158" s="9"/>
    </row>
    <row r="159" spans="1:10" x14ac:dyDescent="0.2">
      <c r="A159" s="4"/>
      <c r="E159" s="4"/>
      <c r="F159" s="4"/>
      <c r="G159" s="9"/>
    </row>
    <row r="160" spans="1:10" x14ac:dyDescent="0.2">
      <c r="A160" s="5"/>
      <c r="B160" s="7"/>
      <c r="C160" s="7"/>
      <c r="E160" s="5"/>
      <c r="F160" s="5"/>
      <c r="G160" s="9"/>
    </row>
    <row r="161" spans="1:11" x14ac:dyDescent="0.2">
      <c r="A161" s="4"/>
      <c r="E161" s="4"/>
      <c r="F161" s="4"/>
      <c r="G161" s="9"/>
    </row>
    <row r="162" spans="1:11" x14ac:dyDescent="0.2">
      <c r="A162" s="2"/>
      <c r="B162" s="7"/>
      <c r="C162" s="7"/>
      <c r="D162" s="5"/>
      <c r="E162" s="5"/>
      <c r="F162" s="5"/>
      <c r="G162" s="8"/>
      <c r="H162" s="44"/>
      <c r="I162" s="44"/>
      <c r="J162" s="44"/>
    </row>
    <row r="163" spans="1:11" x14ac:dyDescent="0.2">
      <c r="A163" s="4"/>
      <c r="E163" s="4"/>
      <c r="F163" s="4"/>
      <c r="G163" s="9"/>
      <c r="K163" s="44"/>
    </row>
    <row r="164" spans="1:11" x14ac:dyDescent="0.2">
      <c r="A164" s="4"/>
      <c r="E164" s="4"/>
      <c r="F164" s="4"/>
      <c r="G164" s="9"/>
    </row>
    <row r="165" spans="1:11" x14ac:dyDescent="0.2">
      <c r="A165" s="4"/>
      <c r="E165" s="4"/>
      <c r="F165" s="4"/>
      <c r="G165" s="9"/>
    </row>
    <row r="166" spans="1:11" x14ac:dyDescent="0.2">
      <c r="A166" s="4"/>
      <c r="E166" s="4"/>
      <c r="F166" s="4"/>
      <c r="G166" s="9"/>
    </row>
    <row r="167" spans="1:11" x14ac:dyDescent="0.2">
      <c r="A167" s="5"/>
      <c r="B167" s="7"/>
      <c r="C167" s="7"/>
      <c r="E167" s="5"/>
      <c r="F167" s="5"/>
      <c r="G167" s="9"/>
    </row>
    <row r="168" spans="1:11" x14ac:dyDescent="0.2">
      <c r="A168" s="4"/>
      <c r="E168" s="4"/>
      <c r="F168" s="4"/>
      <c r="G168" s="9"/>
    </row>
    <row r="169" spans="1:11" x14ac:dyDescent="0.2">
      <c r="A169" s="2"/>
      <c r="B169" s="7"/>
      <c r="C169" s="7"/>
      <c r="D169" s="5"/>
      <c r="E169" s="5"/>
      <c r="F169" s="5"/>
      <c r="G169" s="8"/>
      <c r="H169" s="44"/>
      <c r="I169" s="44"/>
      <c r="J169" s="44"/>
    </row>
    <row r="170" spans="1:11" x14ac:dyDescent="0.2">
      <c r="A170" s="4"/>
      <c r="E170" s="4"/>
      <c r="F170" s="4"/>
      <c r="G170" s="9"/>
    </row>
    <row r="171" spans="1:11" x14ac:dyDescent="0.2">
      <c r="A171" s="4"/>
      <c r="E171" s="4"/>
      <c r="F171" s="4"/>
      <c r="G171" s="9"/>
    </row>
    <row r="172" spans="1:11" x14ac:dyDescent="0.2">
      <c r="A172" s="4"/>
      <c r="E172" s="4"/>
      <c r="F172" s="4"/>
      <c r="G172" s="9"/>
    </row>
    <row r="173" spans="1:11" x14ac:dyDescent="0.2">
      <c r="A173" s="4"/>
      <c r="E173" s="4"/>
      <c r="F173" s="4"/>
      <c r="G173" s="9"/>
    </row>
    <row r="174" spans="1:11" x14ac:dyDescent="0.2">
      <c r="A174" s="5"/>
      <c r="B174" s="7"/>
      <c r="C174" s="7"/>
      <c r="E174" s="5"/>
      <c r="F174" s="5"/>
      <c r="G174" s="9"/>
    </row>
    <row r="175" spans="1:11" x14ac:dyDescent="0.2">
      <c r="A175" s="4"/>
      <c r="B175" s="13"/>
      <c r="E175" s="4"/>
      <c r="F175" s="4"/>
      <c r="G175" s="9"/>
    </row>
    <row r="176" spans="1:11" x14ac:dyDescent="0.2">
      <c r="A176" s="5"/>
      <c r="B176" s="7"/>
      <c r="C176" s="7"/>
      <c r="D176" s="5"/>
      <c r="E176" s="5"/>
      <c r="F176" s="5"/>
      <c r="G176" s="9"/>
    </row>
    <row r="177" spans="1:10" x14ac:dyDescent="0.2">
      <c r="A177" s="2"/>
      <c r="B177" s="7"/>
      <c r="C177" s="7"/>
      <c r="D177" s="5"/>
      <c r="E177" s="5"/>
      <c r="F177" s="5"/>
      <c r="G177" s="8"/>
      <c r="H177" s="44"/>
      <c r="I177" s="44"/>
      <c r="J177" s="44"/>
    </row>
    <row r="178" spans="1:10" x14ac:dyDescent="0.2">
      <c r="A178" s="4"/>
      <c r="E178" s="4"/>
      <c r="F178" s="4"/>
      <c r="G178" s="9"/>
    </row>
    <row r="179" spans="1:10" x14ac:dyDescent="0.2">
      <c r="A179" s="4"/>
      <c r="E179" s="4"/>
      <c r="F179" s="4"/>
      <c r="G179" s="9"/>
    </row>
    <row r="180" spans="1:10" x14ac:dyDescent="0.2">
      <c r="A180" s="4"/>
      <c r="E180" s="4"/>
      <c r="F180" s="4"/>
      <c r="G180" s="9"/>
    </row>
    <row r="181" spans="1:10" x14ac:dyDescent="0.2">
      <c r="A181" s="4"/>
      <c r="E181" s="4"/>
      <c r="F181" s="4"/>
      <c r="G181" s="9"/>
    </row>
    <row r="182" spans="1:10" x14ac:dyDescent="0.2">
      <c r="A182" s="5"/>
      <c r="B182" s="7"/>
      <c r="C182" s="7"/>
      <c r="E182" s="5"/>
      <c r="F182" s="5"/>
      <c r="G182" s="9"/>
    </row>
    <row r="183" spans="1:10" x14ac:dyDescent="0.2">
      <c r="A183" s="4"/>
      <c r="E183" s="4"/>
      <c r="F183" s="4"/>
      <c r="G183" s="9"/>
    </row>
    <row r="184" spans="1:10" x14ac:dyDescent="0.2">
      <c r="A184" s="4"/>
      <c r="E184" s="4"/>
      <c r="F184" s="4"/>
      <c r="G184" s="9"/>
    </row>
    <row r="185" spans="1:10" x14ac:dyDescent="0.2">
      <c r="A185" s="4"/>
      <c r="E185" s="4"/>
      <c r="F185" s="4"/>
      <c r="G185" s="9"/>
    </row>
    <row r="186" spans="1:10" x14ac:dyDescent="0.2">
      <c r="A186" s="4"/>
      <c r="E186" s="4"/>
      <c r="F186" s="4"/>
      <c r="G186" s="9"/>
    </row>
    <row r="187" spans="1:10" x14ac:dyDescent="0.2">
      <c r="A187" s="5"/>
      <c r="C187" s="7"/>
      <c r="E187" s="5"/>
      <c r="F187" s="5"/>
      <c r="G187" s="9"/>
    </row>
    <row r="188" spans="1:10" x14ac:dyDescent="0.2">
      <c r="A188" s="12"/>
      <c r="B188" s="13"/>
      <c r="C188" s="13"/>
      <c r="E188" s="12"/>
      <c r="F188" s="12"/>
      <c r="G188" s="9"/>
    </row>
    <row r="189" spans="1:10" x14ac:dyDescent="0.2">
      <c r="A189" s="12"/>
      <c r="B189" s="13"/>
      <c r="C189" s="13"/>
      <c r="E189" s="12"/>
      <c r="F189" s="12"/>
      <c r="G189" s="9"/>
    </row>
    <row r="190" spans="1:10" x14ac:dyDescent="0.2">
      <c r="A190" s="12"/>
      <c r="B190" s="13"/>
      <c r="C190" s="13"/>
      <c r="E190" s="12"/>
      <c r="F190" s="12"/>
      <c r="G190" s="9"/>
    </row>
    <row r="191" spans="1:10" x14ac:dyDescent="0.2">
      <c r="A191" s="4"/>
      <c r="B191" s="13"/>
      <c r="E191" s="4"/>
      <c r="F191" s="4"/>
      <c r="G191" s="9"/>
    </row>
    <row r="192" spans="1:10" x14ac:dyDescent="0.2">
      <c r="A192" s="4"/>
      <c r="B192" s="13"/>
      <c r="E192" s="4"/>
      <c r="F192" s="4"/>
      <c r="G192" s="9"/>
    </row>
    <row r="193" spans="1:11" x14ac:dyDescent="0.2">
      <c r="A193" s="11"/>
      <c r="B193" s="7"/>
      <c r="C193" s="7"/>
      <c r="D193" s="5"/>
      <c r="E193" s="5"/>
      <c r="F193" s="5"/>
      <c r="G193" s="8"/>
      <c r="H193" s="44"/>
      <c r="I193" s="44"/>
      <c r="J193" s="44"/>
    </row>
    <row r="194" spans="1:11" x14ac:dyDescent="0.2">
      <c r="A194" s="4"/>
      <c r="E194" s="4"/>
      <c r="F194" s="4"/>
      <c r="G194" s="9"/>
      <c r="K194" s="44"/>
    </row>
    <row r="195" spans="1:11" x14ac:dyDescent="0.2">
      <c r="A195" s="4"/>
      <c r="E195" s="4"/>
      <c r="F195" s="4"/>
      <c r="G195" s="9"/>
    </row>
    <row r="196" spans="1:11" x14ac:dyDescent="0.2">
      <c r="A196" s="4"/>
      <c r="E196" s="4"/>
      <c r="F196" s="4"/>
      <c r="G196" s="9"/>
    </row>
    <row r="197" spans="1:11" x14ac:dyDescent="0.2">
      <c r="A197" s="4"/>
      <c r="E197" s="4"/>
      <c r="F197" s="4"/>
      <c r="G197" s="9"/>
    </row>
    <row r="198" spans="1:11" x14ac:dyDescent="0.2">
      <c r="A198" s="5"/>
      <c r="B198" s="7"/>
      <c r="C198" s="7"/>
      <c r="E198" s="5"/>
      <c r="F198" s="5"/>
      <c r="G198" s="9"/>
    </row>
    <row r="199" spans="1:11" x14ac:dyDescent="0.2">
      <c r="A199" s="4"/>
      <c r="E199" s="4"/>
      <c r="F199" s="4"/>
      <c r="G199" s="9"/>
    </row>
    <row r="200" spans="1:11" x14ac:dyDescent="0.2">
      <c r="A200" s="4"/>
      <c r="E200" s="4"/>
      <c r="F200" s="4"/>
      <c r="G200" s="9"/>
    </row>
    <row r="201" spans="1:11" x14ac:dyDescent="0.2">
      <c r="A201" s="4"/>
      <c r="E201" s="4"/>
      <c r="F201" s="4"/>
      <c r="G201" s="9"/>
    </row>
    <row r="202" spans="1:11" x14ac:dyDescent="0.2">
      <c r="A202" s="4"/>
      <c r="E202" s="4"/>
      <c r="F202" s="4"/>
      <c r="G202" s="9"/>
    </row>
    <row r="203" spans="1:11" x14ac:dyDescent="0.2">
      <c r="A203" s="4"/>
      <c r="E203" s="4"/>
      <c r="F203" s="4"/>
      <c r="G203" s="9"/>
    </row>
    <row r="204" spans="1:11" x14ac:dyDescent="0.2">
      <c r="A204" s="12"/>
      <c r="B204" s="13"/>
      <c r="C204" s="13"/>
      <c r="E204" s="12"/>
      <c r="F204" s="12"/>
      <c r="G204" s="9"/>
    </row>
    <row r="205" spans="1:11" x14ac:dyDescent="0.2">
      <c r="A205" s="12"/>
      <c r="B205" s="13"/>
      <c r="C205" s="13"/>
      <c r="E205" s="12"/>
      <c r="F205" s="12"/>
      <c r="G205" s="9"/>
    </row>
    <row r="206" spans="1:11" x14ac:dyDescent="0.2">
      <c r="A206" s="12"/>
      <c r="B206" s="13"/>
      <c r="C206" s="13"/>
      <c r="E206" s="12"/>
      <c r="F206" s="12"/>
      <c r="G206" s="9"/>
    </row>
    <row r="207" spans="1:11" x14ac:dyDescent="0.2">
      <c r="A207" s="4"/>
      <c r="B207" s="13"/>
      <c r="C207" s="13"/>
      <c r="E207" s="4"/>
      <c r="F207" s="4"/>
      <c r="G207" s="9"/>
    </row>
    <row r="208" spans="1:11" x14ac:dyDescent="0.2">
      <c r="A208" s="4"/>
      <c r="B208" s="13"/>
      <c r="E208" s="4"/>
      <c r="F208" s="4"/>
      <c r="G208" s="9"/>
    </row>
    <row r="209" spans="1:10" x14ac:dyDescent="0.2">
      <c r="A209" s="11"/>
      <c r="B209" s="7"/>
      <c r="C209" s="7"/>
      <c r="D209" s="5"/>
      <c r="E209" s="5"/>
      <c r="F209" s="5"/>
      <c r="G209" s="8"/>
      <c r="H209" s="44"/>
      <c r="I209" s="44"/>
      <c r="J209" s="44"/>
    </row>
    <row r="210" spans="1:10" x14ac:dyDescent="0.2">
      <c r="A210" s="4"/>
      <c r="E210" s="4"/>
      <c r="F210" s="4"/>
      <c r="G210" s="9"/>
    </row>
    <row r="211" spans="1:10" x14ac:dyDescent="0.2">
      <c r="A211" s="4"/>
      <c r="E211" s="4"/>
      <c r="F211" s="4"/>
      <c r="G211" s="9"/>
    </row>
    <row r="212" spans="1:10" x14ac:dyDescent="0.2">
      <c r="A212" s="4"/>
      <c r="E212" s="4"/>
      <c r="F212" s="4"/>
      <c r="G212" s="9"/>
    </row>
    <row r="213" spans="1:10" x14ac:dyDescent="0.2">
      <c r="A213" s="4"/>
      <c r="E213" s="4"/>
      <c r="F213" s="4"/>
      <c r="G213" s="9"/>
    </row>
    <row r="214" spans="1:10" x14ac:dyDescent="0.2">
      <c r="A214" s="5"/>
      <c r="B214" s="7"/>
      <c r="C214" s="7"/>
      <c r="E214" s="5"/>
      <c r="F214" s="5"/>
      <c r="G214" s="9"/>
    </row>
    <row r="215" spans="1:10" x14ac:dyDescent="0.2">
      <c r="A215" s="4"/>
      <c r="E215" s="4"/>
      <c r="F215" s="4"/>
      <c r="G215" s="9"/>
    </row>
    <row r="216" spans="1:10" x14ac:dyDescent="0.2">
      <c r="A216" s="4"/>
      <c r="E216" s="4"/>
      <c r="F216" s="4"/>
      <c r="G216" s="9"/>
    </row>
    <row r="217" spans="1:10" x14ac:dyDescent="0.2">
      <c r="A217" s="4"/>
      <c r="E217" s="4"/>
      <c r="F217" s="4"/>
      <c r="G217" s="9"/>
    </row>
    <row r="218" spans="1:10" x14ac:dyDescent="0.2">
      <c r="A218" s="4"/>
      <c r="E218" s="4"/>
      <c r="F218" s="4"/>
      <c r="G218" s="9"/>
    </row>
    <row r="219" spans="1:10" x14ac:dyDescent="0.2">
      <c r="A219" s="4"/>
      <c r="E219" s="4"/>
      <c r="F219" s="4"/>
      <c r="G219" s="9"/>
    </row>
    <row r="220" spans="1:10" x14ac:dyDescent="0.2">
      <c r="A220" s="12"/>
      <c r="B220" s="13"/>
      <c r="C220" s="13"/>
      <c r="E220" s="12"/>
      <c r="F220" s="12"/>
      <c r="G220" s="9"/>
    </row>
    <row r="221" spans="1:10" x14ac:dyDescent="0.2">
      <c r="A221" s="12"/>
      <c r="B221" s="13"/>
      <c r="C221" s="13"/>
      <c r="E221" s="12"/>
      <c r="F221" s="12"/>
      <c r="G221" s="9"/>
    </row>
    <row r="222" spans="1:10" x14ac:dyDescent="0.2">
      <c r="A222" s="12"/>
      <c r="B222" s="13"/>
      <c r="C222" s="13"/>
      <c r="E222" s="12"/>
      <c r="F222" s="12"/>
      <c r="G222" s="9"/>
    </row>
    <row r="223" spans="1:10" x14ac:dyDescent="0.2">
      <c r="A223" s="4"/>
      <c r="B223" s="13"/>
      <c r="E223" s="4"/>
      <c r="F223" s="4"/>
      <c r="G223" s="9"/>
    </row>
    <row r="224" spans="1:10" x14ac:dyDescent="0.2">
      <c r="A224" s="4"/>
      <c r="B224" s="13"/>
      <c r="E224" s="4"/>
      <c r="F224" s="4"/>
      <c r="G224" s="9"/>
    </row>
    <row r="225" spans="1:11" x14ac:dyDescent="0.2">
      <c r="A225" s="11"/>
      <c r="B225" s="7"/>
      <c r="C225" s="7"/>
      <c r="D225" s="5"/>
      <c r="E225" s="5"/>
      <c r="F225" s="5"/>
      <c r="G225" s="8"/>
      <c r="H225" s="44"/>
      <c r="I225" s="44"/>
      <c r="J225" s="44"/>
    </row>
    <row r="226" spans="1:11" x14ac:dyDescent="0.2">
      <c r="A226" s="4"/>
      <c r="E226" s="4"/>
      <c r="F226" s="4"/>
      <c r="G226" s="9"/>
    </row>
    <row r="227" spans="1:11" x14ac:dyDescent="0.2">
      <c r="A227" s="4"/>
      <c r="E227" s="4"/>
      <c r="F227" s="4"/>
      <c r="G227" s="9"/>
      <c r="K227" s="44"/>
    </row>
    <row r="228" spans="1:11" x14ac:dyDescent="0.2">
      <c r="A228" s="4"/>
      <c r="E228" s="4"/>
      <c r="F228" s="4"/>
      <c r="G228" s="9"/>
    </row>
    <row r="229" spans="1:11" x14ac:dyDescent="0.2">
      <c r="A229" s="4"/>
      <c r="E229" s="4"/>
      <c r="F229" s="4"/>
      <c r="G229" s="9"/>
    </row>
    <row r="230" spans="1:11" x14ac:dyDescent="0.2">
      <c r="A230" s="5"/>
      <c r="B230" s="7"/>
      <c r="C230" s="7"/>
      <c r="E230" s="5"/>
      <c r="F230" s="5"/>
      <c r="G230" s="9"/>
    </row>
    <row r="231" spans="1:11" x14ac:dyDescent="0.2">
      <c r="A231" s="4"/>
      <c r="E231" s="4"/>
      <c r="F231" s="4"/>
      <c r="G231" s="9"/>
    </row>
    <row r="232" spans="1:11" x14ac:dyDescent="0.2">
      <c r="A232" s="4"/>
      <c r="E232" s="4"/>
      <c r="F232" s="4"/>
      <c r="G232" s="9"/>
    </row>
    <row r="233" spans="1:11" x14ac:dyDescent="0.2">
      <c r="A233" s="4"/>
      <c r="E233" s="4"/>
      <c r="F233" s="4"/>
      <c r="G233" s="9"/>
    </row>
    <row r="234" spans="1:11" x14ac:dyDescent="0.2">
      <c r="A234" s="4"/>
      <c r="E234" s="4"/>
      <c r="F234" s="10"/>
      <c r="G234" s="9"/>
    </row>
    <row r="235" spans="1:11" x14ac:dyDescent="0.2">
      <c r="A235" s="4"/>
      <c r="E235" s="4"/>
      <c r="F235" s="10"/>
      <c r="G235" s="9"/>
    </row>
    <row r="236" spans="1:11" x14ac:dyDescent="0.2">
      <c r="A236" s="12"/>
      <c r="B236" s="13"/>
      <c r="C236" s="13"/>
      <c r="E236" s="12"/>
      <c r="F236" s="12"/>
      <c r="G236" s="9"/>
    </row>
    <row r="237" spans="1:11" x14ac:dyDescent="0.2">
      <c r="A237" s="12"/>
      <c r="B237" s="13"/>
      <c r="C237" s="13"/>
      <c r="E237" s="12"/>
      <c r="F237" s="12"/>
      <c r="G237" s="9"/>
    </row>
    <row r="238" spans="1:11" x14ac:dyDescent="0.2">
      <c r="A238" s="12"/>
      <c r="B238" s="13"/>
      <c r="C238" s="13"/>
      <c r="E238" s="12"/>
      <c r="F238" s="12"/>
      <c r="G238" s="9"/>
    </row>
    <row r="239" spans="1:11" x14ac:dyDescent="0.2">
      <c r="A239" s="4"/>
      <c r="B239" s="13"/>
      <c r="E239" s="4"/>
      <c r="F239" s="10"/>
      <c r="G239" s="9"/>
    </row>
    <row r="240" spans="1:11" x14ac:dyDescent="0.2">
      <c r="A240" s="4"/>
      <c r="B240" s="13"/>
      <c r="E240" s="4"/>
      <c r="F240" s="10"/>
      <c r="G240" s="9"/>
    </row>
    <row r="241" spans="1:10" x14ac:dyDescent="0.2">
      <c r="A241" s="2"/>
      <c r="B241" s="7"/>
      <c r="C241" s="7"/>
      <c r="D241" s="5"/>
      <c r="E241" s="5"/>
      <c r="F241" s="5"/>
      <c r="G241" s="8"/>
      <c r="H241" s="44"/>
      <c r="I241" s="44"/>
      <c r="J241" s="44"/>
    </row>
    <row r="242" spans="1:10" x14ac:dyDescent="0.2">
      <c r="A242" s="4"/>
      <c r="E242" s="4"/>
      <c r="F242" s="4"/>
      <c r="G242" s="9"/>
    </row>
    <row r="243" spans="1:10" x14ac:dyDescent="0.2">
      <c r="A243" s="4"/>
      <c r="E243" s="4"/>
      <c r="F243" s="4"/>
      <c r="G243" s="9"/>
    </row>
    <row r="244" spans="1:10" x14ac:dyDescent="0.2">
      <c r="A244" s="4"/>
      <c r="E244" s="4"/>
      <c r="F244" s="4"/>
      <c r="G244" s="9"/>
    </row>
    <row r="245" spans="1:10" x14ac:dyDescent="0.2">
      <c r="A245" s="4"/>
      <c r="E245" s="4"/>
      <c r="F245" s="4"/>
      <c r="G245" s="9"/>
    </row>
    <row r="246" spans="1:10" x14ac:dyDescent="0.2">
      <c r="A246" s="5"/>
      <c r="B246" s="7"/>
      <c r="C246" s="7"/>
      <c r="E246" s="5"/>
      <c r="F246" s="5"/>
      <c r="G246" s="9"/>
    </row>
    <row r="247" spans="1:10" x14ac:dyDescent="0.2">
      <c r="A247" s="4"/>
      <c r="E247" s="4"/>
      <c r="F247" s="4"/>
      <c r="G247" s="9"/>
    </row>
    <row r="248" spans="1:10" x14ac:dyDescent="0.2">
      <c r="A248" s="4"/>
      <c r="B248" s="14"/>
      <c r="C248" s="14"/>
      <c r="E248" s="4"/>
      <c r="F248" s="4"/>
      <c r="G248" s="9"/>
    </row>
    <row r="249" spans="1:10" x14ac:dyDescent="0.2">
      <c r="A249" s="4"/>
      <c r="B249" s="14"/>
      <c r="C249" s="14"/>
      <c r="E249" s="4"/>
      <c r="F249" s="4"/>
      <c r="G249" s="9"/>
    </row>
    <row r="250" spans="1:10" x14ac:dyDescent="0.2">
      <c r="A250" s="4"/>
      <c r="B250" s="14"/>
      <c r="C250" s="14"/>
      <c r="E250" s="4"/>
      <c r="G250" s="9"/>
    </row>
    <row r="251" spans="1:10" x14ac:dyDescent="0.2">
      <c r="A251" s="5"/>
      <c r="B251" s="15"/>
      <c r="C251" s="15"/>
      <c r="E251" s="5"/>
      <c r="F251" s="5"/>
      <c r="G251" s="9"/>
    </row>
    <row r="252" spans="1:10" x14ac:dyDescent="0.2">
      <c r="A252" s="12"/>
      <c r="B252" s="16"/>
      <c r="C252" s="16"/>
      <c r="E252" s="12"/>
      <c r="F252" s="12"/>
      <c r="G252" s="9"/>
    </row>
    <row r="253" spans="1:10" x14ac:dyDescent="0.2">
      <c r="A253" s="12"/>
      <c r="B253" s="13"/>
      <c r="C253" s="16"/>
      <c r="E253" s="12"/>
      <c r="F253" s="12"/>
      <c r="G253" s="9"/>
    </row>
    <row r="254" spans="1:10" x14ac:dyDescent="0.2">
      <c r="A254" s="12"/>
      <c r="B254" s="13"/>
      <c r="C254" s="13"/>
      <c r="E254" s="12"/>
      <c r="F254" s="12"/>
      <c r="G254" s="9"/>
    </row>
    <row r="255" spans="1:10" x14ac:dyDescent="0.2">
      <c r="A255" s="5"/>
      <c r="B255" s="7"/>
      <c r="C255" s="5"/>
      <c r="E255" s="5"/>
      <c r="F255" s="5"/>
      <c r="G255" s="9"/>
    </row>
    <row r="256" spans="1:10" x14ac:dyDescent="0.2">
      <c r="A256" s="5"/>
      <c r="B256" s="7"/>
      <c r="C256" s="5"/>
      <c r="E256" s="5"/>
      <c r="F256" s="5"/>
      <c r="G256" s="9"/>
    </row>
    <row r="257" spans="1:11" x14ac:dyDescent="0.2">
      <c r="A257" s="11"/>
      <c r="B257" s="7"/>
      <c r="C257" s="7"/>
      <c r="D257" s="5"/>
      <c r="E257" s="5"/>
      <c r="F257" s="5"/>
      <c r="G257" s="8"/>
      <c r="H257" s="44"/>
      <c r="I257" s="44"/>
      <c r="J257" s="44"/>
    </row>
    <row r="258" spans="1:11" x14ac:dyDescent="0.2">
      <c r="A258" s="4"/>
      <c r="E258" s="4"/>
      <c r="F258" s="4"/>
      <c r="G258" s="9"/>
    </row>
    <row r="259" spans="1:11" x14ac:dyDescent="0.2">
      <c r="A259" s="4"/>
      <c r="E259" s="4"/>
      <c r="F259" s="4"/>
      <c r="G259" s="9"/>
    </row>
    <row r="260" spans="1:11" x14ac:dyDescent="0.2">
      <c r="A260" s="4"/>
      <c r="E260" s="4"/>
      <c r="F260" s="4"/>
      <c r="G260" s="9"/>
      <c r="K260" s="44"/>
    </row>
    <row r="261" spans="1:11" x14ac:dyDescent="0.2">
      <c r="A261" s="4"/>
      <c r="E261" s="4"/>
      <c r="F261" s="4"/>
      <c r="G261" s="9"/>
      <c r="K261" s="44"/>
    </row>
    <row r="262" spans="1:11" x14ac:dyDescent="0.2">
      <c r="A262" s="5"/>
      <c r="B262" s="7"/>
      <c r="C262" s="7"/>
      <c r="E262" s="5"/>
      <c r="F262" s="5"/>
      <c r="G262" s="9"/>
      <c r="K262" s="44"/>
    </row>
    <row r="263" spans="1:11" x14ac:dyDescent="0.2">
      <c r="A263" s="4"/>
      <c r="E263" s="4"/>
      <c r="F263" s="4"/>
      <c r="G263" s="9"/>
    </row>
    <row r="264" spans="1:11" x14ac:dyDescent="0.2">
      <c r="A264" s="4"/>
      <c r="E264" s="4"/>
      <c r="F264" s="4"/>
      <c r="G264" s="9"/>
    </row>
    <row r="265" spans="1:11" x14ac:dyDescent="0.2">
      <c r="A265" s="4"/>
      <c r="E265" s="4"/>
      <c r="F265" s="4"/>
      <c r="G265" s="9"/>
    </row>
    <row r="266" spans="1:11" x14ac:dyDescent="0.2">
      <c r="A266" s="4"/>
      <c r="E266" s="4"/>
      <c r="F266" s="4"/>
      <c r="G266" s="9"/>
    </row>
    <row r="267" spans="1:11" x14ac:dyDescent="0.2">
      <c r="A267" s="4"/>
      <c r="E267" s="4"/>
      <c r="F267" s="4"/>
      <c r="G267" s="9"/>
    </row>
    <row r="268" spans="1:11" x14ac:dyDescent="0.2">
      <c r="A268" s="12"/>
      <c r="B268" s="13"/>
      <c r="C268" s="13"/>
      <c r="E268" s="12"/>
      <c r="F268" s="12"/>
      <c r="G268" s="9"/>
    </row>
    <row r="269" spans="1:11" x14ac:dyDescent="0.2">
      <c r="A269" s="12"/>
      <c r="B269" s="13"/>
      <c r="C269" s="13"/>
      <c r="E269" s="12"/>
      <c r="F269" s="12"/>
      <c r="G269" s="9"/>
    </row>
    <row r="270" spans="1:11" x14ac:dyDescent="0.2">
      <c r="A270" s="12"/>
      <c r="B270" s="13"/>
      <c r="C270" s="13"/>
      <c r="E270" s="12"/>
      <c r="F270" s="12"/>
      <c r="G270" s="9"/>
    </row>
    <row r="271" spans="1:11" x14ac:dyDescent="0.2">
      <c r="A271" s="5"/>
      <c r="B271" s="7"/>
      <c r="C271" s="7"/>
      <c r="E271" s="4"/>
      <c r="F271" s="4"/>
      <c r="G271" s="9"/>
    </row>
    <row r="272" spans="1:11" x14ac:dyDescent="0.2">
      <c r="A272" s="4"/>
      <c r="B272" s="13"/>
      <c r="E272" s="4"/>
      <c r="F272" s="4"/>
      <c r="G272" s="9"/>
    </row>
    <row r="273" spans="1:10" x14ac:dyDescent="0.2">
      <c r="A273" s="11"/>
      <c r="B273" s="7"/>
      <c r="C273" s="7"/>
      <c r="D273" s="5"/>
      <c r="E273" s="5"/>
      <c r="F273" s="5"/>
      <c r="G273" s="8"/>
      <c r="H273" s="44"/>
      <c r="I273" s="44"/>
      <c r="J273" s="44"/>
    </row>
    <row r="274" spans="1:10" x14ac:dyDescent="0.2">
      <c r="A274" s="4"/>
      <c r="E274" s="4"/>
      <c r="F274" s="4"/>
      <c r="G274" s="9"/>
    </row>
    <row r="275" spans="1:10" x14ac:dyDescent="0.2">
      <c r="A275" s="4"/>
      <c r="E275" s="4"/>
      <c r="F275" s="4"/>
      <c r="G275" s="9"/>
    </row>
    <row r="276" spans="1:10" x14ac:dyDescent="0.2">
      <c r="A276" s="4"/>
      <c r="E276" s="4"/>
      <c r="F276" s="4"/>
      <c r="G276" s="9"/>
    </row>
    <row r="277" spans="1:10" x14ac:dyDescent="0.2">
      <c r="A277" s="4"/>
      <c r="E277" s="4"/>
      <c r="F277" s="4"/>
      <c r="G277" s="9"/>
    </row>
    <row r="278" spans="1:10" x14ac:dyDescent="0.2">
      <c r="A278" s="5"/>
      <c r="B278" s="7"/>
      <c r="C278" s="7"/>
      <c r="E278" s="5"/>
      <c r="F278" s="5"/>
      <c r="G278" s="9"/>
    </row>
    <row r="279" spans="1:10" x14ac:dyDescent="0.2">
      <c r="A279" s="4"/>
      <c r="E279" s="4"/>
      <c r="F279" s="4"/>
      <c r="G279" s="9"/>
    </row>
    <row r="280" spans="1:10" x14ac:dyDescent="0.2">
      <c r="A280" s="4"/>
      <c r="E280" s="4"/>
      <c r="F280" s="4"/>
      <c r="G280" s="9"/>
    </row>
    <row r="281" spans="1:10" x14ac:dyDescent="0.2">
      <c r="A281" s="4"/>
      <c r="E281" s="4"/>
      <c r="F281" s="4"/>
      <c r="G281" s="9"/>
    </row>
    <row r="282" spans="1:10" x14ac:dyDescent="0.2">
      <c r="A282" s="4"/>
      <c r="E282" s="4"/>
      <c r="F282" s="4"/>
      <c r="G282" s="9"/>
    </row>
    <row r="283" spans="1:10" x14ac:dyDescent="0.2">
      <c r="A283" s="4"/>
      <c r="E283" s="4"/>
      <c r="F283" s="4"/>
      <c r="G283" s="9"/>
    </row>
    <row r="284" spans="1:10" x14ac:dyDescent="0.2">
      <c r="A284" s="12"/>
      <c r="B284" s="13"/>
      <c r="C284" s="13"/>
      <c r="E284" s="12"/>
      <c r="F284" s="12"/>
      <c r="G284" s="9"/>
    </row>
    <row r="285" spans="1:10" x14ac:dyDescent="0.2">
      <c r="A285" s="12"/>
      <c r="B285" s="13"/>
      <c r="C285" s="13"/>
      <c r="E285" s="12"/>
      <c r="F285" s="12"/>
      <c r="G285" s="9"/>
    </row>
    <row r="286" spans="1:10" x14ac:dyDescent="0.2">
      <c r="A286" s="12"/>
      <c r="B286" s="13"/>
      <c r="C286" s="13"/>
      <c r="E286" s="12"/>
      <c r="F286" s="12"/>
      <c r="G286" s="9"/>
    </row>
    <row r="287" spans="1:10" x14ac:dyDescent="0.2">
      <c r="A287" s="4"/>
      <c r="B287" s="13"/>
      <c r="E287" s="4"/>
      <c r="F287" s="4"/>
      <c r="G287" s="9"/>
    </row>
    <row r="288" spans="1:10" x14ac:dyDescent="0.2">
      <c r="A288" s="4"/>
      <c r="B288" s="13"/>
      <c r="E288" s="4"/>
      <c r="F288" s="4"/>
      <c r="G288" s="9"/>
    </row>
    <row r="289" spans="1:11" x14ac:dyDescent="0.2">
      <c r="A289" s="11"/>
      <c r="B289" s="137"/>
      <c r="C289" s="137"/>
      <c r="D289" s="5"/>
      <c r="E289" s="5"/>
      <c r="F289" s="5"/>
      <c r="G289" s="8"/>
      <c r="H289" s="44"/>
      <c r="I289" s="44"/>
      <c r="J289" s="44"/>
    </row>
    <row r="290" spans="1:11" x14ac:dyDescent="0.2">
      <c r="A290" s="4"/>
      <c r="E290" s="4"/>
      <c r="F290" s="4"/>
      <c r="G290" s="9"/>
    </row>
    <row r="291" spans="1:11" x14ac:dyDescent="0.2">
      <c r="A291" s="4"/>
      <c r="E291" s="4"/>
      <c r="F291" s="4"/>
      <c r="G291" s="9"/>
    </row>
    <row r="292" spans="1:11" x14ac:dyDescent="0.2">
      <c r="A292" s="4"/>
      <c r="E292" s="4"/>
      <c r="F292" s="4"/>
      <c r="G292" s="9"/>
    </row>
    <row r="293" spans="1:11" x14ac:dyDescent="0.2">
      <c r="A293" s="4"/>
      <c r="E293" s="4"/>
      <c r="F293" s="4"/>
      <c r="G293" s="9"/>
    </row>
    <row r="294" spans="1:11" x14ac:dyDescent="0.2">
      <c r="A294" s="5"/>
      <c r="B294" s="7"/>
      <c r="C294" s="7"/>
      <c r="E294" s="5"/>
      <c r="F294" s="5"/>
      <c r="G294" s="9"/>
    </row>
    <row r="295" spans="1:11" x14ac:dyDescent="0.2">
      <c r="A295" s="4"/>
      <c r="E295" s="4"/>
      <c r="F295" s="4"/>
      <c r="G295" s="9"/>
    </row>
    <row r="296" spans="1:11" x14ac:dyDescent="0.2">
      <c r="A296" s="4"/>
      <c r="E296" s="4"/>
      <c r="F296" s="4"/>
      <c r="G296" s="9"/>
    </row>
    <row r="297" spans="1:11" x14ac:dyDescent="0.2">
      <c r="A297" s="4"/>
      <c r="E297" s="4"/>
      <c r="F297" s="4"/>
      <c r="G297" s="9"/>
      <c r="K297" s="44"/>
    </row>
    <row r="298" spans="1:11" x14ac:dyDescent="0.2">
      <c r="A298" s="4"/>
      <c r="E298" s="4"/>
      <c r="F298" s="4"/>
      <c r="G298" s="9"/>
    </row>
    <row r="299" spans="1:11" x14ac:dyDescent="0.2">
      <c r="A299" s="4"/>
      <c r="E299" s="4"/>
      <c r="F299" s="4"/>
      <c r="G299" s="9"/>
    </row>
    <row r="300" spans="1:11" x14ac:dyDescent="0.2">
      <c r="A300" s="12"/>
      <c r="B300" s="13"/>
      <c r="C300" s="13"/>
      <c r="E300" s="12"/>
      <c r="F300" s="12"/>
      <c r="G300" s="9"/>
    </row>
    <row r="301" spans="1:11" x14ac:dyDescent="0.2">
      <c r="A301" s="12"/>
      <c r="B301" s="13"/>
      <c r="C301" s="13"/>
      <c r="E301" s="12"/>
      <c r="F301" s="12"/>
      <c r="G301" s="9"/>
    </row>
    <row r="302" spans="1:11" x14ac:dyDescent="0.2">
      <c r="A302" s="12"/>
      <c r="B302" s="13"/>
      <c r="C302" s="13"/>
      <c r="E302" s="12"/>
      <c r="F302" s="12"/>
      <c r="G302" s="9"/>
    </row>
    <row r="303" spans="1:11" x14ac:dyDescent="0.2">
      <c r="A303" s="4"/>
      <c r="B303" s="13"/>
      <c r="E303" s="4"/>
      <c r="F303" s="4"/>
      <c r="G303" s="9"/>
    </row>
    <row r="304" spans="1:11" x14ac:dyDescent="0.2">
      <c r="A304" s="4"/>
      <c r="B304" s="13"/>
      <c r="E304" s="4"/>
      <c r="F304" s="4"/>
      <c r="G304" s="9"/>
    </row>
    <row r="305" spans="1:10" x14ac:dyDescent="0.2">
      <c r="A305" s="11"/>
      <c r="B305" s="137"/>
      <c r="C305" s="137"/>
      <c r="D305" s="5"/>
      <c r="E305" s="5"/>
      <c r="F305" s="5"/>
      <c r="G305" s="8"/>
      <c r="H305" s="44"/>
      <c r="I305" s="44"/>
      <c r="J305" s="44"/>
    </row>
    <row r="306" spans="1:10" x14ac:dyDescent="0.2">
      <c r="A306" s="4"/>
      <c r="E306" s="4"/>
      <c r="F306" s="4"/>
      <c r="G306" s="9"/>
    </row>
    <row r="307" spans="1:10" x14ac:dyDescent="0.2">
      <c r="A307" s="4"/>
      <c r="E307" s="4"/>
      <c r="F307" s="4"/>
      <c r="G307" s="9"/>
    </row>
    <row r="308" spans="1:10" x14ac:dyDescent="0.2">
      <c r="A308" s="4"/>
      <c r="E308" s="4"/>
      <c r="F308" s="4"/>
      <c r="G308" s="9"/>
    </row>
    <row r="309" spans="1:10" x14ac:dyDescent="0.2">
      <c r="A309" s="4"/>
      <c r="E309" s="4"/>
      <c r="F309" s="1"/>
      <c r="G309" s="9"/>
    </row>
    <row r="310" spans="1:10" x14ac:dyDescent="0.2">
      <c r="A310" s="5"/>
      <c r="B310" s="7"/>
      <c r="C310" s="7"/>
      <c r="E310" s="4"/>
      <c r="F310" s="5"/>
      <c r="G310" s="9"/>
    </row>
    <row r="311" spans="1:10" x14ac:dyDescent="0.2">
      <c r="A311" s="4"/>
      <c r="E311" s="4"/>
      <c r="F311" s="1"/>
      <c r="G311" s="9"/>
    </row>
    <row r="312" spans="1:10" x14ac:dyDescent="0.2">
      <c r="A312" s="4"/>
      <c r="E312" s="4"/>
      <c r="F312" s="1"/>
      <c r="G312" s="9"/>
    </row>
    <row r="313" spans="1:10" x14ac:dyDescent="0.2">
      <c r="A313" s="4"/>
      <c r="E313" s="4"/>
      <c r="F313" s="1"/>
      <c r="G313" s="9"/>
    </row>
    <row r="314" spans="1:10" x14ac:dyDescent="0.2">
      <c r="A314" s="4"/>
      <c r="E314" s="4"/>
      <c r="F314" s="1"/>
      <c r="G314" s="9"/>
    </row>
    <row r="315" spans="1:10" x14ac:dyDescent="0.2">
      <c r="A315" s="4"/>
      <c r="E315" s="4"/>
      <c r="F315" s="1"/>
      <c r="G315" s="9"/>
    </row>
    <row r="316" spans="1:10" x14ac:dyDescent="0.2">
      <c r="A316" s="12"/>
      <c r="B316" s="13"/>
      <c r="C316" s="13"/>
      <c r="E316" s="12"/>
      <c r="F316" s="17"/>
      <c r="G316" s="9"/>
    </row>
    <row r="317" spans="1:10" x14ac:dyDescent="0.2">
      <c r="A317" s="12"/>
      <c r="B317" s="13"/>
      <c r="C317" s="13"/>
      <c r="E317" s="12"/>
      <c r="F317" s="17"/>
      <c r="G317" s="9"/>
    </row>
    <row r="318" spans="1:10" x14ac:dyDescent="0.2">
      <c r="A318" s="12"/>
      <c r="B318" s="13"/>
      <c r="C318" s="13"/>
      <c r="E318" s="12"/>
      <c r="F318" s="17"/>
      <c r="G318" s="9"/>
    </row>
    <row r="319" spans="1:10" x14ac:dyDescent="0.2">
      <c r="A319" s="4"/>
      <c r="B319" s="13"/>
      <c r="E319" s="12"/>
      <c r="F319" s="1"/>
      <c r="G319" s="3"/>
    </row>
    <row r="320" spans="1:10" x14ac:dyDescent="0.2">
      <c r="A320" s="4"/>
      <c r="B320" s="13"/>
      <c r="E320" s="12"/>
      <c r="F320" s="1"/>
      <c r="G320" s="3"/>
    </row>
    <row r="321" spans="1:7" x14ac:dyDescent="0.2">
      <c r="A321" s="4"/>
      <c r="G321" s="3"/>
    </row>
  </sheetData>
  <mergeCells count="43">
    <mergeCell ref="H134:I134"/>
    <mergeCell ref="H113:I113"/>
    <mergeCell ref="B120:C120"/>
    <mergeCell ref="H120:I120"/>
    <mergeCell ref="B127:C127"/>
    <mergeCell ref="H127:I127"/>
    <mergeCell ref="H92:I92"/>
    <mergeCell ref="B99:C99"/>
    <mergeCell ref="H99:I99"/>
    <mergeCell ref="B106:C106"/>
    <mergeCell ref="H106:I106"/>
    <mergeCell ref="H71:I71"/>
    <mergeCell ref="B78:C78"/>
    <mergeCell ref="H78:I78"/>
    <mergeCell ref="B85:C85"/>
    <mergeCell ref="H85:I85"/>
    <mergeCell ref="H36:I36"/>
    <mergeCell ref="H43:I43"/>
    <mergeCell ref="H50:I50"/>
    <mergeCell ref="H57:I57"/>
    <mergeCell ref="H64:I64"/>
    <mergeCell ref="H1:I1"/>
    <mergeCell ref="H8:I8"/>
    <mergeCell ref="H15:I15"/>
    <mergeCell ref="H22:I22"/>
    <mergeCell ref="H29:I29"/>
    <mergeCell ref="B1:C1"/>
    <mergeCell ref="B49:C49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289:C289"/>
    <mergeCell ref="B305:C305"/>
    <mergeCell ref="B71:C71"/>
    <mergeCell ref="B92:C92"/>
    <mergeCell ref="B113:C113"/>
    <mergeCell ref="B134:C1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2023-12-13T22:42:51Z</dcterms:modified>
</cp:coreProperties>
</file>