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"/>
    </mc:Choice>
  </mc:AlternateContent>
  <xr:revisionPtr revIDLastSave="0" documentId="13_ncr:1_{1E9840F1-F7FC-ED4D-AC0B-0B61774377E0}" xr6:coauthVersionLast="46" xr6:coauthVersionMax="46" xr10:uidLastSave="{00000000-0000-0000-0000-000000000000}"/>
  <bookViews>
    <workbookView xWindow="0" yWindow="500" windowWidth="28800" windowHeight="17500" activeTab="1" xr2:uid="{05D28018-5EC7-B748-ACA7-09DD0AD3B70C}"/>
  </bookViews>
  <sheets>
    <sheet name="dose" sheetId="4" r:id="rId1"/>
    <sheet name="feces pos ttmnt - PA 10^5.5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20" i="5" l="1"/>
  <c r="F319" i="5"/>
  <c r="F318" i="5"/>
  <c r="G320" i="5"/>
  <c r="G319" i="5"/>
  <c r="D319" i="5"/>
  <c r="D320" i="5"/>
  <c r="F304" i="5"/>
  <c r="F303" i="5"/>
  <c r="F302" i="5"/>
  <c r="G304" i="5"/>
  <c r="G303" i="5"/>
  <c r="D304" i="5"/>
  <c r="D303" i="5"/>
  <c r="F288" i="5"/>
  <c r="F287" i="5"/>
  <c r="G287" i="5" s="1"/>
  <c r="F286" i="5"/>
  <c r="G288" i="5"/>
  <c r="F272" i="5"/>
  <c r="G272" i="5" s="1"/>
  <c r="F271" i="5"/>
  <c r="F270" i="5"/>
  <c r="G271" i="5"/>
  <c r="D272" i="5"/>
  <c r="D271" i="5"/>
  <c r="F256" i="5"/>
  <c r="F255" i="5"/>
  <c r="F254" i="5"/>
  <c r="G256" i="5"/>
  <c r="G255" i="5"/>
  <c r="D255" i="5"/>
  <c r="D256" i="5"/>
  <c r="F240" i="5"/>
  <c r="F239" i="5"/>
  <c r="F238" i="5"/>
  <c r="G240" i="5"/>
  <c r="G239" i="5"/>
  <c r="D240" i="5"/>
  <c r="D239" i="5"/>
  <c r="F224" i="5"/>
  <c r="F223" i="5"/>
  <c r="F222" i="5"/>
  <c r="G224" i="5"/>
  <c r="G223" i="5"/>
  <c r="D224" i="5"/>
  <c r="D223" i="5"/>
  <c r="G207" i="5"/>
  <c r="G208" i="5"/>
  <c r="F208" i="5"/>
  <c r="F207" i="5"/>
  <c r="F206" i="5"/>
  <c r="F192" i="5"/>
  <c r="F191" i="5"/>
  <c r="F190" i="5"/>
  <c r="G192" i="5"/>
  <c r="G191" i="5"/>
  <c r="D192" i="5"/>
  <c r="D191" i="5"/>
  <c r="G175" i="5"/>
  <c r="G176" i="5"/>
  <c r="F176" i="5"/>
  <c r="F175" i="5"/>
  <c r="F174" i="5"/>
  <c r="F160" i="5"/>
  <c r="F159" i="5"/>
  <c r="F158" i="5"/>
  <c r="D160" i="5"/>
  <c r="G160" i="5" s="1"/>
  <c r="D159" i="5"/>
  <c r="G159" i="5" s="1"/>
  <c r="F144" i="5"/>
  <c r="F143" i="5"/>
  <c r="F142" i="5"/>
  <c r="D144" i="5"/>
  <c r="G144" i="5" s="1"/>
  <c r="D143" i="5"/>
  <c r="G143" i="5" s="1"/>
  <c r="F128" i="5"/>
  <c r="F127" i="5"/>
  <c r="F126" i="5"/>
  <c r="D128" i="5"/>
  <c r="G128" i="5" s="1"/>
  <c r="D127" i="5"/>
  <c r="G127" i="5" s="1"/>
  <c r="F112" i="5"/>
  <c r="F111" i="5"/>
  <c r="F110" i="5"/>
  <c r="D112" i="5"/>
  <c r="G112" i="5" s="1"/>
  <c r="D111" i="5"/>
  <c r="G111" i="5" s="1"/>
  <c r="F96" i="5"/>
  <c r="F95" i="5"/>
  <c r="F94" i="5"/>
  <c r="D96" i="5"/>
  <c r="G96" i="5"/>
  <c r="D95" i="5"/>
  <c r="G95" i="5" s="1"/>
  <c r="F80" i="5"/>
  <c r="F79" i="5"/>
  <c r="F78" i="5"/>
  <c r="D80" i="5"/>
  <c r="G80" i="5" s="1"/>
  <c r="D79" i="5"/>
  <c r="G79" i="5" s="1"/>
  <c r="F64" i="5"/>
  <c r="F63" i="5"/>
  <c r="F62" i="5"/>
  <c r="D64" i="5"/>
  <c r="G64" i="5" s="1"/>
  <c r="D63" i="5"/>
  <c r="G63" i="5" s="1"/>
  <c r="F48" i="5"/>
  <c r="F47" i="5"/>
  <c r="F46" i="5"/>
  <c r="D48" i="5"/>
  <c r="G48" i="5" s="1"/>
  <c r="D47" i="5"/>
  <c r="F32" i="5"/>
  <c r="F31" i="5"/>
  <c r="F30" i="5"/>
  <c r="D32" i="5"/>
  <c r="G32" i="5" s="1"/>
  <c r="D31" i="5"/>
  <c r="G31" i="5" s="1"/>
  <c r="F16" i="5"/>
  <c r="F15" i="5"/>
  <c r="F14" i="5"/>
  <c r="D16" i="5"/>
  <c r="G16" i="5" s="1"/>
  <c r="D15" i="5"/>
  <c r="G15" i="5" s="1"/>
  <c r="S16" i="5"/>
  <c r="T16" i="5"/>
  <c r="U16" i="5" s="1"/>
  <c r="V16" i="5" s="1"/>
  <c r="S15" i="5"/>
  <c r="T15" i="5"/>
  <c r="U15" i="5"/>
  <c r="V15" i="5"/>
  <c r="S14" i="5"/>
  <c r="T14" i="5" s="1"/>
  <c r="U14" i="5" s="1"/>
  <c r="V14" i="5" s="1"/>
  <c r="S13" i="5"/>
  <c r="T13" i="5" s="1"/>
  <c r="U13" i="5" s="1"/>
  <c r="V13" i="5" s="1"/>
  <c r="S12" i="5"/>
  <c r="T12" i="5" s="1"/>
  <c r="U12" i="5" s="1"/>
  <c r="V12" i="5" s="1"/>
  <c r="F157" i="5"/>
  <c r="F156" i="5"/>
  <c r="F141" i="5"/>
  <c r="F140" i="5"/>
  <c r="F125" i="5"/>
  <c r="F124" i="5"/>
  <c r="F109" i="5"/>
  <c r="F108" i="5"/>
  <c r="F93" i="5"/>
  <c r="F92" i="5"/>
  <c r="F77" i="5"/>
  <c r="F76" i="5"/>
  <c r="F61" i="5"/>
  <c r="F60" i="5"/>
  <c r="F45" i="5"/>
  <c r="F44" i="5"/>
  <c r="F29" i="5"/>
  <c r="F28" i="5"/>
  <c r="F13" i="5"/>
  <c r="F12" i="5"/>
  <c r="F317" i="5"/>
  <c r="F316" i="5"/>
  <c r="F301" i="5"/>
  <c r="F300" i="5"/>
  <c r="F285" i="5"/>
  <c r="F284" i="5"/>
  <c r="F269" i="5"/>
  <c r="F268" i="5"/>
  <c r="F253" i="5"/>
  <c r="F252" i="5"/>
  <c r="F237" i="5"/>
  <c r="F236" i="5"/>
  <c r="F221" i="5"/>
  <c r="F220" i="5"/>
  <c r="F205" i="5"/>
  <c r="F204" i="5"/>
  <c r="F189" i="5"/>
  <c r="F188" i="5"/>
  <c r="F173" i="5"/>
  <c r="F172" i="5"/>
  <c r="F315" i="5"/>
  <c r="F299" i="5"/>
  <c r="F283" i="5"/>
  <c r="F267" i="5"/>
  <c r="F251" i="5"/>
  <c r="F235" i="5"/>
  <c r="F219" i="5"/>
  <c r="F203" i="5"/>
  <c r="F187" i="5"/>
  <c r="F171" i="5"/>
  <c r="F155" i="5"/>
  <c r="F139" i="5"/>
  <c r="F123" i="5"/>
  <c r="F107" i="5"/>
  <c r="F91" i="5"/>
  <c r="F75" i="5"/>
  <c r="D75" i="5"/>
  <c r="F59" i="5"/>
  <c r="F43" i="5"/>
  <c r="F27" i="5"/>
  <c r="F11" i="5"/>
  <c r="D316" i="5"/>
  <c r="G316" i="5" s="1"/>
  <c r="D317" i="5"/>
  <c r="D318" i="5"/>
  <c r="G318" i="5" s="1"/>
  <c r="D300" i="5"/>
  <c r="D301" i="5"/>
  <c r="G301" i="5" s="1"/>
  <c r="D302" i="5"/>
  <c r="D284" i="5"/>
  <c r="G284" i="5" s="1"/>
  <c r="D285" i="5"/>
  <c r="G285" i="5" s="1"/>
  <c r="D286" i="5"/>
  <c r="G286" i="5" s="1"/>
  <c r="D268" i="5"/>
  <c r="G268" i="5" s="1"/>
  <c r="D269" i="5"/>
  <c r="G269" i="5" s="1"/>
  <c r="D270" i="5"/>
  <c r="G270" i="5" s="1"/>
  <c r="D252" i="5"/>
  <c r="G252" i="5" s="1"/>
  <c r="D253" i="5"/>
  <c r="G253" i="5" s="1"/>
  <c r="D254" i="5"/>
  <c r="G254" i="5" s="1"/>
  <c r="D236" i="5"/>
  <c r="G236" i="5" s="1"/>
  <c r="D237" i="5"/>
  <c r="G237" i="5" s="1"/>
  <c r="D238" i="5"/>
  <c r="G238" i="5" s="1"/>
  <c r="D220" i="5"/>
  <c r="G220" i="5" s="1"/>
  <c r="D221" i="5"/>
  <c r="G221" i="5" s="1"/>
  <c r="D222" i="5"/>
  <c r="G222" i="5" s="1"/>
  <c r="D204" i="5"/>
  <c r="G204" i="5" s="1"/>
  <c r="D205" i="5"/>
  <c r="G205" i="5" s="1"/>
  <c r="D206" i="5"/>
  <c r="G206" i="5" s="1"/>
  <c r="D188" i="5"/>
  <c r="G188" i="5" s="1"/>
  <c r="D189" i="5"/>
  <c r="G189" i="5" s="1"/>
  <c r="D190" i="5"/>
  <c r="G190" i="5" s="1"/>
  <c r="D172" i="5"/>
  <c r="G172" i="5" s="1"/>
  <c r="D173" i="5"/>
  <c r="G173" i="5" s="1"/>
  <c r="D174" i="5"/>
  <c r="G174" i="5" s="1"/>
  <c r="D156" i="5"/>
  <c r="G156" i="5" s="1"/>
  <c r="D157" i="5"/>
  <c r="G157" i="5" s="1"/>
  <c r="D158" i="5"/>
  <c r="G158" i="5" s="1"/>
  <c r="D140" i="5"/>
  <c r="G140" i="5" s="1"/>
  <c r="D141" i="5"/>
  <c r="G141" i="5" s="1"/>
  <c r="D142" i="5"/>
  <c r="G142" i="5" s="1"/>
  <c r="D124" i="5"/>
  <c r="G124" i="5" s="1"/>
  <c r="D125" i="5"/>
  <c r="G125" i="5" s="1"/>
  <c r="D126" i="5"/>
  <c r="G126" i="5" s="1"/>
  <c r="D108" i="5"/>
  <c r="G108" i="5" s="1"/>
  <c r="D109" i="5"/>
  <c r="G109" i="5" s="1"/>
  <c r="D110" i="5"/>
  <c r="G110" i="5" s="1"/>
  <c r="D92" i="5"/>
  <c r="D93" i="5"/>
  <c r="G93" i="5" s="1"/>
  <c r="D94" i="5"/>
  <c r="G94" i="5" s="1"/>
  <c r="D76" i="5"/>
  <c r="G76" i="5" s="1"/>
  <c r="D77" i="5"/>
  <c r="G77" i="5" s="1"/>
  <c r="D78" i="5"/>
  <c r="G78" i="5" s="1"/>
  <c r="D60" i="5"/>
  <c r="G60" i="5" s="1"/>
  <c r="D61" i="5"/>
  <c r="G61" i="5" s="1"/>
  <c r="D62" i="5"/>
  <c r="G62" i="5" s="1"/>
  <c r="D44" i="5"/>
  <c r="G44" i="5" s="1"/>
  <c r="D45" i="5"/>
  <c r="G45" i="5" s="1"/>
  <c r="D46" i="5"/>
  <c r="G46" i="5" s="1"/>
  <c r="D28" i="5"/>
  <c r="G28" i="5" s="1"/>
  <c r="D30" i="5"/>
  <c r="G30" i="5" s="1"/>
  <c r="D29" i="5"/>
  <c r="G29" i="5" s="1"/>
  <c r="D12" i="5"/>
  <c r="G12" i="5" s="1"/>
  <c r="D13" i="5"/>
  <c r="G13" i="5" s="1"/>
  <c r="D14" i="5"/>
  <c r="G14" i="5" s="1"/>
  <c r="G302" i="5" l="1"/>
  <c r="G47" i="5"/>
  <c r="G317" i="5"/>
  <c r="G300" i="5"/>
  <c r="D282" i="5"/>
  <c r="F154" i="5"/>
  <c r="F153" i="5"/>
  <c r="F138" i="5"/>
  <c r="F137" i="5"/>
  <c r="F122" i="5"/>
  <c r="F121" i="5"/>
  <c r="F106" i="5"/>
  <c r="F105" i="5"/>
  <c r="F90" i="5"/>
  <c r="F89" i="5"/>
  <c r="F74" i="5"/>
  <c r="F73" i="5"/>
  <c r="F58" i="5"/>
  <c r="F57" i="5"/>
  <c r="F42" i="5"/>
  <c r="F41" i="5"/>
  <c r="F26" i="5"/>
  <c r="F25" i="5"/>
  <c r="F10" i="5"/>
  <c r="F9" i="5"/>
  <c r="F314" i="5"/>
  <c r="F313" i="5"/>
  <c r="F298" i="5"/>
  <c r="F297" i="5"/>
  <c r="F282" i="5"/>
  <c r="F281" i="5"/>
  <c r="F266" i="5"/>
  <c r="F265" i="5"/>
  <c r="F250" i="5"/>
  <c r="F249" i="5"/>
  <c r="F234" i="5"/>
  <c r="F233" i="5"/>
  <c r="F218" i="5"/>
  <c r="F217" i="5"/>
  <c r="F202" i="5"/>
  <c r="F201" i="5"/>
  <c r="F186" i="5"/>
  <c r="F185" i="5"/>
  <c r="F170" i="5"/>
  <c r="F169" i="5"/>
  <c r="D313" i="5"/>
  <c r="D314" i="5"/>
  <c r="G314" i="5" s="1"/>
  <c r="D315" i="5"/>
  <c r="G315" i="5" s="1"/>
  <c r="D297" i="5"/>
  <c r="D298" i="5"/>
  <c r="D299" i="5"/>
  <c r="G299" i="5" s="1"/>
  <c r="D281" i="5"/>
  <c r="G281" i="5" s="1"/>
  <c r="D283" i="5"/>
  <c r="G283" i="5" s="1"/>
  <c r="D265" i="5"/>
  <c r="G265" i="5" s="1"/>
  <c r="D266" i="5"/>
  <c r="D267" i="5"/>
  <c r="G267" i="5" s="1"/>
  <c r="D249" i="5"/>
  <c r="D250" i="5"/>
  <c r="G250" i="5" s="1"/>
  <c r="D251" i="5"/>
  <c r="G251" i="5" s="1"/>
  <c r="D233" i="5"/>
  <c r="D234" i="5"/>
  <c r="D235" i="5"/>
  <c r="G235" i="5" s="1"/>
  <c r="D217" i="5"/>
  <c r="G217" i="5" s="1"/>
  <c r="D218" i="5"/>
  <c r="G218" i="5" s="1"/>
  <c r="D219" i="5"/>
  <c r="G219" i="5" s="1"/>
  <c r="D201" i="5"/>
  <c r="G201" i="5" s="1"/>
  <c r="D202" i="5"/>
  <c r="D203" i="5"/>
  <c r="G203" i="5" s="1"/>
  <c r="D185" i="5"/>
  <c r="D186" i="5"/>
  <c r="G186" i="5" s="1"/>
  <c r="D187" i="5"/>
  <c r="G187" i="5" s="1"/>
  <c r="D169" i="5"/>
  <c r="G169" i="5" s="1"/>
  <c r="D170" i="5"/>
  <c r="D171" i="5"/>
  <c r="G171" i="5" s="1"/>
  <c r="D153" i="5"/>
  <c r="G153" i="5" s="1"/>
  <c r="D154" i="5"/>
  <c r="G154" i="5" s="1"/>
  <c r="D155" i="5"/>
  <c r="G155" i="5" s="1"/>
  <c r="D139" i="5"/>
  <c r="G139" i="5" s="1"/>
  <c r="D137" i="5"/>
  <c r="G137" i="5" s="1"/>
  <c r="D138" i="5"/>
  <c r="D121" i="5"/>
  <c r="D122" i="5"/>
  <c r="G122" i="5" s="1"/>
  <c r="D123" i="5"/>
  <c r="G123" i="5" s="1"/>
  <c r="D105" i="5"/>
  <c r="D106" i="5"/>
  <c r="D107" i="5"/>
  <c r="G107" i="5" s="1"/>
  <c r="D89" i="5"/>
  <c r="G89" i="5" s="1"/>
  <c r="D90" i="5"/>
  <c r="G90" i="5" s="1"/>
  <c r="D91" i="5"/>
  <c r="G91" i="5" s="1"/>
  <c r="D73" i="5"/>
  <c r="D74" i="5"/>
  <c r="G75" i="5"/>
  <c r="D57" i="5"/>
  <c r="D58" i="5"/>
  <c r="G58" i="5" s="1"/>
  <c r="D59" i="5"/>
  <c r="G59" i="5" s="1"/>
  <c r="D41" i="5"/>
  <c r="G41" i="5" s="1"/>
  <c r="D42" i="5"/>
  <c r="D43" i="5"/>
  <c r="G43" i="5" s="1"/>
  <c r="D25" i="5"/>
  <c r="G25" i="5" s="1"/>
  <c r="D26" i="5"/>
  <c r="G26" i="5" s="1"/>
  <c r="D27" i="5"/>
  <c r="G27" i="5" s="1"/>
  <c r="D9" i="5"/>
  <c r="D10" i="5"/>
  <c r="D11" i="5"/>
  <c r="G11" i="5" s="1"/>
  <c r="S11" i="5"/>
  <c r="T11" i="5" s="1"/>
  <c r="U11" i="5" s="1"/>
  <c r="V11" i="5" s="1"/>
  <c r="G10" i="5" l="1"/>
  <c r="G249" i="5"/>
  <c r="G42" i="5"/>
  <c r="G57" i="5"/>
  <c r="G106" i="5"/>
  <c r="G121" i="5"/>
  <c r="G170" i="5"/>
  <c r="G185" i="5"/>
  <c r="G298" i="5"/>
  <c r="G313" i="5"/>
  <c r="G138" i="5"/>
  <c r="G282" i="5"/>
  <c r="G297" i="5"/>
  <c r="G234" i="5"/>
  <c r="G202" i="5"/>
  <c r="G233" i="5"/>
  <c r="G266" i="5"/>
  <c r="G105" i="5"/>
  <c r="G74" i="5"/>
  <c r="G73" i="5"/>
  <c r="G9" i="5"/>
  <c r="F310" i="5" l="1"/>
  <c r="F309" i="5"/>
  <c r="F308" i="5"/>
  <c r="F307" i="5"/>
  <c r="F306" i="5"/>
  <c r="F312" i="5"/>
  <c r="F311" i="5"/>
  <c r="F296" i="5"/>
  <c r="F295" i="5"/>
  <c r="F294" i="5"/>
  <c r="F293" i="5"/>
  <c r="F292" i="5"/>
  <c r="F291" i="5"/>
  <c r="F290" i="5"/>
  <c r="F278" i="5"/>
  <c r="F277" i="5"/>
  <c r="F276" i="5"/>
  <c r="F275" i="5"/>
  <c r="F274" i="5"/>
  <c r="F280" i="5"/>
  <c r="F279" i="5"/>
  <c r="F264" i="5"/>
  <c r="F263" i="5"/>
  <c r="F262" i="5"/>
  <c r="F261" i="5"/>
  <c r="F260" i="5"/>
  <c r="F259" i="5"/>
  <c r="F258" i="5"/>
  <c r="F246" i="5"/>
  <c r="F245" i="5"/>
  <c r="F244" i="5"/>
  <c r="F243" i="5"/>
  <c r="F242" i="5"/>
  <c r="F247" i="5"/>
  <c r="F232" i="5"/>
  <c r="F231" i="5"/>
  <c r="F230" i="5"/>
  <c r="F229" i="5"/>
  <c r="F228" i="5"/>
  <c r="F227" i="5"/>
  <c r="F226" i="5"/>
  <c r="F214" i="5"/>
  <c r="F213" i="5"/>
  <c r="F212" i="5"/>
  <c r="F211" i="5"/>
  <c r="F210" i="5"/>
  <c r="F216" i="5"/>
  <c r="F215" i="5"/>
  <c r="F200" i="5"/>
  <c r="F199" i="5"/>
  <c r="F198" i="5"/>
  <c r="F197" i="5"/>
  <c r="F196" i="5"/>
  <c r="F195" i="5"/>
  <c r="F194" i="5"/>
  <c r="F182" i="5"/>
  <c r="F181" i="5"/>
  <c r="F180" i="5"/>
  <c r="F179" i="5"/>
  <c r="F178" i="5"/>
  <c r="F184" i="5"/>
  <c r="F183" i="5"/>
  <c r="F168" i="5"/>
  <c r="F167" i="5"/>
  <c r="F166" i="5"/>
  <c r="F165" i="5"/>
  <c r="F164" i="5"/>
  <c r="F163" i="5"/>
  <c r="F162" i="5"/>
  <c r="F152" i="5"/>
  <c r="F151" i="5"/>
  <c r="F150" i="5"/>
  <c r="F149" i="5"/>
  <c r="F148" i="5"/>
  <c r="F147" i="5"/>
  <c r="F146" i="5"/>
  <c r="F134" i="5"/>
  <c r="F133" i="5"/>
  <c r="F132" i="5"/>
  <c r="F131" i="5"/>
  <c r="F130" i="5"/>
  <c r="F136" i="5"/>
  <c r="F135" i="5"/>
  <c r="F120" i="5"/>
  <c r="F119" i="5"/>
  <c r="F118" i="5"/>
  <c r="F117" i="5"/>
  <c r="F116" i="5"/>
  <c r="F115" i="5"/>
  <c r="F114" i="5"/>
  <c r="F102" i="5"/>
  <c r="F101" i="5"/>
  <c r="F100" i="5"/>
  <c r="F99" i="5"/>
  <c r="F98" i="5"/>
  <c r="F104" i="5"/>
  <c r="F103" i="5"/>
  <c r="F88" i="5"/>
  <c r="F87" i="5"/>
  <c r="F86" i="5"/>
  <c r="F85" i="5"/>
  <c r="F84" i="5"/>
  <c r="F83" i="5"/>
  <c r="F82" i="5"/>
  <c r="F70" i="5"/>
  <c r="F69" i="5"/>
  <c r="F68" i="5"/>
  <c r="F67" i="5"/>
  <c r="F66" i="5"/>
  <c r="F72" i="5"/>
  <c r="F71" i="5"/>
  <c r="F56" i="5"/>
  <c r="F55" i="5"/>
  <c r="F54" i="5"/>
  <c r="F53" i="5"/>
  <c r="F52" i="5"/>
  <c r="F51" i="5"/>
  <c r="F50" i="5"/>
  <c r="F40" i="5"/>
  <c r="F39" i="5"/>
  <c r="F38" i="5"/>
  <c r="F37" i="5"/>
  <c r="F36" i="5"/>
  <c r="F35" i="5"/>
  <c r="F34" i="5"/>
  <c r="F22" i="5"/>
  <c r="F21" i="5"/>
  <c r="F20" i="5"/>
  <c r="F19" i="5"/>
  <c r="F18" i="5"/>
  <c r="F24" i="5"/>
  <c r="F23" i="5"/>
  <c r="F8" i="5"/>
  <c r="F7" i="5"/>
  <c r="F6" i="5"/>
  <c r="F5" i="5"/>
  <c r="F4" i="5"/>
  <c r="F3" i="5"/>
  <c r="F2" i="5"/>
  <c r="D312" i="5"/>
  <c r="D311" i="5"/>
  <c r="D310" i="5"/>
  <c r="G310" i="5" s="1"/>
  <c r="D309" i="5"/>
  <c r="D308" i="5"/>
  <c r="D307" i="5"/>
  <c r="D306" i="5"/>
  <c r="G306" i="5" s="1"/>
  <c r="D296" i="5"/>
  <c r="D295" i="5"/>
  <c r="D294" i="5"/>
  <c r="D293" i="5"/>
  <c r="D292" i="5"/>
  <c r="D291" i="5"/>
  <c r="G291" i="5" s="1"/>
  <c r="D290" i="5"/>
  <c r="D280" i="5"/>
  <c r="D279" i="5"/>
  <c r="G279" i="5" s="1"/>
  <c r="D278" i="5"/>
  <c r="D277" i="5"/>
  <c r="D276" i="5"/>
  <c r="G276" i="5" s="1"/>
  <c r="D275" i="5"/>
  <c r="D274" i="5"/>
  <c r="D264" i="5"/>
  <c r="D263" i="5"/>
  <c r="D262" i="5"/>
  <c r="D261" i="5"/>
  <c r="G261" i="5" s="1"/>
  <c r="D260" i="5"/>
  <c r="D259" i="5"/>
  <c r="D258" i="5"/>
  <c r="D248" i="5"/>
  <c r="D247" i="5"/>
  <c r="D246" i="5"/>
  <c r="G246" i="5" s="1"/>
  <c r="D245" i="5"/>
  <c r="D244" i="5"/>
  <c r="D243" i="5"/>
  <c r="D242" i="5"/>
  <c r="G242" i="5" s="1"/>
  <c r="D232" i="5"/>
  <c r="D231" i="5"/>
  <c r="G231" i="5" s="1"/>
  <c r="D230" i="5"/>
  <c r="G230" i="5" s="1"/>
  <c r="D229" i="5"/>
  <c r="D228" i="5"/>
  <c r="D227" i="5"/>
  <c r="G227" i="5" s="1"/>
  <c r="D226" i="5"/>
  <c r="D216" i="5"/>
  <c r="D215" i="5"/>
  <c r="D214" i="5"/>
  <c r="G214" i="5" s="1"/>
  <c r="D213" i="5"/>
  <c r="D212" i="5"/>
  <c r="D211" i="5"/>
  <c r="D210" i="5"/>
  <c r="G210" i="5" s="1"/>
  <c r="D200" i="5"/>
  <c r="G200" i="5" s="1"/>
  <c r="D199" i="5"/>
  <c r="D198" i="5"/>
  <c r="D197" i="5"/>
  <c r="G197" i="5" s="1"/>
  <c r="D196" i="5"/>
  <c r="G196" i="5" s="1"/>
  <c r="D195" i="5"/>
  <c r="G195" i="5" s="1"/>
  <c r="D194" i="5"/>
  <c r="D184" i="5"/>
  <c r="G184" i="5" s="1"/>
  <c r="D183" i="5"/>
  <c r="D182" i="5"/>
  <c r="D181" i="5"/>
  <c r="D180" i="5"/>
  <c r="G180" i="5" s="1"/>
  <c r="D179" i="5"/>
  <c r="D178" i="5"/>
  <c r="D168" i="5"/>
  <c r="D167" i="5"/>
  <c r="G167" i="5" s="1"/>
  <c r="D166" i="5"/>
  <c r="G166" i="5" s="1"/>
  <c r="D165" i="5"/>
  <c r="G165" i="5" s="1"/>
  <c r="D164" i="5"/>
  <c r="D163" i="5"/>
  <c r="G163" i="5" s="1"/>
  <c r="D162" i="5"/>
  <c r="L15" i="4"/>
  <c r="L14" i="4"/>
  <c r="M14" i="4" s="1"/>
  <c r="N14" i="4" s="1"/>
  <c r="L13" i="4"/>
  <c r="L12" i="4"/>
  <c r="M12" i="4" s="1"/>
  <c r="N12" i="4" s="1"/>
  <c r="L10" i="4"/>
  <c r="L9" i="4"/>
  <c r="M9" i="4" s="1"/>
  <c r="N9" i="4" s="1"/>
  <c r="L8" i="4"/>
  <c r="L7" i="4"/>
  <c r="M7" i="4" s="1"/>
  <c r="N7" i="4" s="1"/>
  <c r="L5" i="4"/>
  <c r="L4" i="4"/>
  <c r="M4" i="4" s="1"/>
  <c r="N4" i="4" s="1"/>
  <c r="D37" i="5"/>
  <c r="D152" i="5"/>
  <c r="D151" i="5"/>
  <c r="D150" i="5"/>
  <c r="D149" i="5"/>
  <c r="G149" i="5" s="1"/>
  <c r="D148" i="5"/>
  <c r="D147" i="5"/>
  <c r="D146" i="5"/>
  <c r="D136" i="5"/>
  <c r="D135" i="5"/>
  <c r="D134" i="5"/>
  <c r="D133" i="5"/>
  <c r="D132" i="5"/>
  <c r="G132" i="5" s="1"/>
  <c r="D131" i="5"/>
  <c r="D130" i="5"/>
  <c r="G130" i="5" s="1"/>
  <c r="D120" i="5"/>
  <c r="D119" i="5"/>
  <c r="G119" i="5" s="1"/>
  <c r="D118" i="5"/>
  <c r="D117" i="5"/>
  <c r="D116" i="5"/>
  <c r="D115" i="5"/>
  <c r="G115" i="5" s="1"/>
  <c r="D114" i="5"/>
  <c r="D104" i="5"/>
  <c r="D103" i="5"/>
  <c r="G103" i="5" s="1"/>
  <c r="D102" i="5"/>
  <c r="G102" i="5" s="1"/>
  <c r="D101" i="5"/>
  <c r="D100" i="5"/>
  <c r="G100" i="5" s="1"/>
  <c r="D99" i="5"/>
  <c r="D98" i="5"/>
  <c r="G98" i="5" s="1"/>
  <c r="D88" i="5"/>
  <c r="D87" i="5"/>
  <c r="D86" i="5"/>
  <c r="D85" i="5"/>
  <c r="G85" i="5" s="1"/>
  <c r="D84" i="5"/>
  <c r="D83" i="5"/>
  <c r="D82" i="5"/>
  <c r="D72" i="5"/>
  <c r="G72" i="5" s="1"/>
  <c r="D71" i="5"/>
  <c r="D70" i="5"/>
  <c r="D69" i="5"/>
  <c r="D68" i="5"/>
  <c r="G68" i="5" s="1"/>
  <c r="D67" i="5"/>
  <c r="D66" i="5"/>
  <c r="G66" i="5" s="1"/>
  <c r="D56" i="5"/>
  <c r="D55" i="5"/>
  <c r="G55" i="5" s="1"/>
  <c r="D54" i="5"/>
  <c r="D53" i="5"/>
  <c r="D52" i="5"/>
  <c r="D51" i="5"/>
  <c r="D50" i="5"/>
  <c r="D40" i="5"/>
  <c r="D39" i="5"/>
  <c r="D38" i="5"/>
  <c r="G38" i="5" s="1"/>
  <c r="D36" i="5"/>
  <c r="D35" i="5"/>
  <c r="D34" i="5"/>
  <c r="D24" i="5"/>
  <c r="G24" i="5" s="1"/>
  <c r="D23" i="5"/>
  <c r="D22" i="5"/>
  <c r="D21" i="5"/>
  <c r="G21" i="5" s="1"/>
  <c r="D20" i="5"/>
  <c r="G20" i="5" s="1"/>
  <c r="D19" i="5"/>
  <c r="G19" i="5" s="1"/>
  <c r="D18" i="5"/>
  <c r="D8" i="5"/>
  <c r="G8" i="5" s="1"/>
  <c r="D7" i="5"/>
  <c r="G7" i="5" s="1"/>
  <c r="D6" i="5"/>
  <c r="D5" i="5"/>
  <c r="D4" i="5"/>
  <c r="G4" i="5" s="1"/>
  <c r="D3" i="5"/>
  <c r="G3" i="5" s="1"/>
  <c r="D2" i="5"/>
  <c r="G295" i="5" l="1"/>
  <c r="G247" i="5"/>
  <c r="G260" i="5"/>
  <c r="G264" i="5"/>
  <c r="G290" i="5"/>
  <c r="G294" i="5"/>
  <c r="G40" i="5"/>
  <c r="G53" i="5"/>
  <c r="G83" i="5"/>
  <c r="G87" i="5"/>
  <c r="G147" i="5"/>
  <c r="G6" i="5"/>
  <c r="G36" i="5"/>
  <c r="G135" i="5"/>
  <c r="G39" i="5"/>
  <c r="G56" i="5"/>
  <c r="G82" i="5"/>
  <c r="G86" i="5"/>
  <c r="G116" i="5"/>
  <c r="G120" i="5"/>
  <c r="G146" i="5"/>
  <c r="G150" i="5"/>
  <c r="G215" i="5"/>
  <c r="G258" i="5"/>
  <c r="G262" i="5"/>
  <c r="G292" i="5"/>
  <c r="G296" i="5"/>
  <c r="G52" i="5"/>
  <c r="G5" i="5"/>
  <c r="G35" i="5"/>
  <c r="G104" i="5"/>
  <c r="G212" i="5"/>
  <c r="G280" i="5"/>
  <c r="G23" i="5"/>
  <c r="G67" i="5"/>
  <c r="G101" i="5"/>
  <c r="G131" i="5"/>
  <c r="G243" i="5"/>
  <c r="G277" i="5"/>
  <c r="G151" i="5"/>
  <c r="G307" i="5"/>
  <c r="G148" i="5"/>
  <c r="G152" i="5"/>
  <c r="G179" i="5"/>
  <c r="G183" i="5"/>
  <c r="G213" i="5"/>
  <c r="G216" i="5"/>
  <c r="G229" i="5"/>
  <c r="G259" i="5"/>
  <c r="G309" i="5"/>
  <c r="G164" i="5"/>
  <c r="G168" i="5"/>
  <c r="G194" i="5"/>
  <c r="G198" i="5"/>
  <c r="G244" i="5"/>
  <c r="G274" i="5"/>
  <c r="G278" i="5"/>
  <c r="G311" i="5"/>
  <c r="G228" i="5"/>
  <c r="G232" i="5"/>
  <c r="G245" i="5"/>
  <c r="G275" i="5"/>
  <c r="G308" i="5"/>
  <c r="G312" i="5"/>
  <c r="G293" i="5"/>
  <c r="G263" i="5"/>
  <c r="G226" i="5"/>
  <c r="G211" i="5"/>
  <c r="G199" i="5"/>
  <c r="G99" i="5"/>
  <c r="G133" i="5"/>
  <c r="G18" i="5"/>
  <c r="G37" i="5"/>
  <c r="G178" i="5"/>
  <c r="G50" i="5"/>
  <c r="G54" i="5"/>
  <c r="G84" i="5"/>
  <c r="G88" i="5"/>
  <c r="G114" i="5"/>
  <c r="G118" i="5"/>
  <c r="G182" i="5"/>
  <c r="G181" i="5"/>
  <c r="G162" i="5"/>
  <c r="G71" i="5"/>
  <c r="G51" i="5"/>
  <c r="G70" i="5"/>
  <c r="G134" i="5"/>
  <c r="G117" i="5"/>
  <c r="G69" i="5"/>
  <c r="G22" i="5"/>
  <c r="G34" i="5"/>
  <c r="G136" i="5"/>
  <c r="G2" i="5"/>
  <c r="S10" i="5"/>
  <c r="T10" i="5" s="1"/>
  <c r="U10" i="5" s="1"/>
  <c r="V10" i="5" s="1"/>
  <c r="D3" i="4" l="1"/>
  <c r="E2" i="4"/>
  <c r="L3" i="4" l="1"/>
  <c r="L2" i="4"/>
  <c r="S9" i="5" l="1"/>
  <c r="T9" i="5" s="1"/>
  <c r="U9" i="5" s="1"/>
  <c r="V9" i="5" s="1"/>
  <c r="M2" i="4" l="1"/>
  <c r="N2" i="4" s="1"/>
  <c r="S2" i="5" l="1"/>
  <c r="T2" i="5" s="1"/>
  <c r="U2" i="5" s="1"/>
  <c r="V2" i="5" s="1"/>
  <c r="R3" i="5"/>
  <c r="R4" i="5" s="1"/>
  <c r="R5" i="5" s="1"/>
  <c r="R6" i="5" l="1"/>
  <c r="S5" i="5"/>
  <c r="T5" i="5" s="1"/>
  <c r="U5" i="5" s="1"/>
  <c r="V5" i="5" s="1"/>
  <c r="S4" i="5"/>
  <c r="T4" i="5" s="1"/>
  <c r="U4" i="5" s="1"/>
  <c r="V4" i="5" s="1"/>
  <c r="S3" i="5"/>
  <c r="T3" i="5" s="1"/>
  <c r="U3" i="5" s="1"/>
  <c r="V3" i="5" s="1"/>
  <c r="R7" i="5" l="1"/>
  <c r="S6" i="5"/>
  <c r="T6" i="5" s="1"/>
  <c r="U6" i="5" s="1"/>
  <c r="V6" i="5" s="1"/>
  <c r="R8" i="5" l="1"/>
  <c r="S8" i="5" s="1"/>
  <c r="T8" i="5" s="1"/>
  <c r="U8" i="5" s="1"/>
  <c r="V8" i="5" s="1"/>
  <c r="S7" i="5"/>
  <c r="T7" i="5" s="1"/>
  <c r="U7" i="5" s="1"/>
  <c r="V7" i="5" s="1"/>
</calcChain>
</file>

<file path=xl/sharedStrings.xml><?xml version="1.0" encoding="utf-8"?>
<sst xmlns="http://schemas.openxmlformats.org/spreadsheetml/2006/main" count="438" uniqueCount="65">
  <si>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</si>
  <si>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</si>
  <si>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</si>
  <si>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</si>
  <si>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</si>
  <si>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</si>
  <si>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</si>
  <si>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</si>
  <si>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</si>
  <si>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</si>
  <si>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</si>
  <si>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</si>
  <si>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</si>
  <si>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</si>
  <si>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</si>
  <si>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</si>
  <si>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6</t>
  </si>
  <si>
    <t>day 1</t>
  </si>
  <si>
    <t>day 2</t>
  </si>
  <si>
    <t>day 3</t>
  </si>
  <si>
    <t>day4</t>
  </si>
  <si>
    <t>day 5</t>
  </si>
  <si>
    <t xml:space="preserve">day 3 </t>
  </si>
  <si>
    <t>day 4</t>
  </si>
  <si>
    <t xml:space="preserve">day 7 </t>
  </si>
  <si>
    <t>BL48 MINS</t>
  </si>
  <si>
    <t>BL48 MINS 10^6 (LB irg5 plates)</t>
  </si>
  <si>
    <t>BL48 MINS 10^6 (LB plates)</t>
  </si>
  <si>
    <t>BL48 LB (LB irg5 plates)</t>
  </si>
  <si>
    <t>BL48 LB (LB plates)</t>
  </si>
  <si>
    <t>BL12 LB (LB irg5 plates)</t>
  </si>
  <si>
    <t>BL412 LB (LB plates)</t>
  </si>
  <si>
    <t>5+2 Vanco BL048 MINS mouse 1 10^5.9</t>
  </si>
  <si>
    <t>5+2 Vanco BL048 MINS mouse 2 10^5.9</t>
  </si>
  <si>
    <t>5+2 Vanco BL048 MINS mouse 3 10^5.9</t>
  </si>
  <si>
    <t>5+2 Vanco BL048 LB mouse 3 10^5.6</t>
  </si>
  <si>
    <t>5+2 Vanco BL048 LB mouse 4 10^5.6</t>
  </si>
  <si>
    <t>5+2 Vanco BL048 LB mouse 5 10^5.6</t>
  </si>
  <si>
    <t>5+2 Vanco BL012 LB mouse 1 10^5.5</t>
  </si>
  <si>
    <t>5+2 Vanco BL012 LB mouse 2 10^5.5</t>
  </si>
  <si>
    <t>5+2 Vanco BL012 LB mouse 4 10^5.5</t>
  </si>
  <si>
    <t>5+2 Vanco BL012 LB mouse 5 10^5.5</t>
  </si>
  <si>
    <t>5+2 PBS BL048 MINS mouse 1 10^5.9</t>
  </si>
  <si>
    <t>5+2 PBS BL048 MINS mouse 2 10^5.9</t>
  </si>
  <si>
    <t>5+2 PBS BL048 MINS mouse 3 10^5.9</t>
  </si>
  <si>
    <t>5+2 PBS BL048 LB mouse 3 10^5.6</t>
  </si>
  <si>
    <t>5+2 PBS BL048 LB mouse 4 10^5.6</t>
  </si>
  <si>
    <t>5+2 PBS BL048 LB mouse 5 10^5.6</t>
  </si>
  <si>
    <t>5+2 PBS BL012 LB mouse 1 10^5.5</t>
  </si>
  <si>
    <t>5+2 PBS BL012 LB mouse 2 10^5.5</t>
  </si>
  <si>
    <t>5+2 PBS BL012 LB mouse 4 10^5.5</t>
  </si>
  <si>
    <t>5+2 PBS BL012 LB mouse 5 10^5.5</t>
  </si>
  <si>
    <t>day 7 - didn't poop</t>
  </si>
  <si>
    <t xml:space="preserve">day 10 </t>
  </si>
  <si>
    <t xml:space="preserve">day 12 </t>
  </si>
  <si>
    <t xml:space="preserve">day 14 </t>
  </si>
  <si>
    <t>day 12</t>
  </si>
  <si>
    <t>day 14</t>
  </si>
  <si>
    <t>day 10</t>
  </si>
  <si>
    <t xml:space="preserve"> day 17</t>
  </si>
  <si>
    <t>day 21</t>
  </si>
  <si>
    <t>day 24</t>
  </si>
  <si>
    <t>?</t>
  </si>
  <si>
    <t>day 26</t>
  </si>
  <si>
    <t>day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</si>
</sst>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5+2 days vancomycin treatment</a:t>
            </a:r>
            <a:endParaRPr lang="en-US" sz="2000" baseline="0">
              <a:solidFill>
                <a:schemeClr val="tx1"/>
              </a:solidFill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BL48 grown in MINS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log 5.9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 10^5.5'!$A$1</c:f>
              <c:strCache>
                <c:ptCount val="1"/>
                <c:pt idx="0">
                  <c:v>5+2 Vanco BL048 MINS mouse 1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 10^5.5'!$R$2:$R$14</c:f>
              <c:numCache>
                <c:formatCode>General</c:formatCode>
                <c:ptCount val="13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  <c:pt idx="10">
                  <c:v>16.8</c:v>
                </c:pt>
                <c:pt idx="11">
                  <c:v>20.8</c:v>
                </c:pt>
                <c:pt idx="12">
                  <c:v>23.8</c:v>
                </c:pt>
              </c:numCache>
            </c:numRef>
          </c:xVal>
          <c:yVal>
            <c:numRef>
              <c:f>'feces pos ttmnt - PA 10^5.5'!$G$2:$G$15</c:f>
              <c:numCache>
                <c:formatCode>0.000</c:formatCode>
                <c:ptCount val="14"/>
                <c:pt idx="0">
                  <c:v>8.0624174037986975</c:v>
                </c:pt>
                <c:pt idx="1">
                  <c:v>8.0639097529051291</c:v>
                </c:pt>
                <c:pt idx="2">
                  <c:v>7.4274187986675129</c:v>
                </c:pt>
                <c:pt idx="3">
                  <c:v>7.4993294231355039</c:v>
                </c:pt>
                <c:pt idx="4">
                  <c:v>7.4143137215475035</c:v>
                </c:pt>
                <c:pt idx="5">
                  <c:v>8.3024219663488878</c:v>
                </c:pt>
                <c:pt idx="6">
                  <c:v>7.8682897026761909</c:v>
                </c:pt>
                <c:pt idx="7">
                  <c:v>6.743121968181276</c:v>
                </c:pt>
                <c:pt idx="8">
                  <c:v>5.9879300802327702</c:v>
                </c:pt>
                <c:pt idx="9">
                  <c:v>6.060124330059856</c:v>
                </c:pt>
                <c:pt idx="10">
                  <c:v>3.9247338627245312</c:v>
                </c:pt>
                <c:pt idx="11">
                  <c:v>3.5983123223604569</c:v>
                </c:pt>
                <c:pt idx="12">
                  <c:v>3.4627207365461437</c:v>
                </c:pt>
                <c:pt idx="13">
                  <c:v>2.9708868951075371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 10^5.5'!$A$17</c:f>
              <c:strCache>
                <c:ptCount val="1"/>
                <c:pt idx="0">
                  <c:v>5+2 Vanco BL048 MINS mouse 2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 10^5.5'!$S$2:$S$14</c:f>
              <c:numCache>
                <c:formatCode>General</c:formatCode>
                <c:ptCount val="13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  <c:pt idx="10">
                  <c:v>16.900000000000002</c:v>
                </c:pt>
                <c:pt idx="11">
                  <c:v>20.900000000000002</c:v>
                </c:pt>
                <c:pt idx="12">
                  <c:v>23.900000000000002</c:v>
                </c:pt>
              </c:numCache>
            </c:numRef>
          </c:xVal>
          <c:yVal>
            <c:numRef>
              <c:f>'feces pos ttmnt - PA 10^5.5'!$G$18:$G$31</c:f>
              <c:numCache>
                <c:formatCode>0.000</c:formatCode>
                <c:ptCount val="14"/>
                <c:pt idx="0">
                  <c:v>5.6575773191777952</c:v>
                </c:pt>
                <c:pt idx="1">
                  <c:v>6.968040982771325</c:v>
                </c:pt>
                <c:pt idx="2">
                  <c:v>7.5399730424684615</c:v>
                </c:pt>
                <c:pt idx="3">
                  <c:v>7.8299828886565122</c:v>
                </c:pt>
                <c:pt idx="4">
                  <c:v>7.9713097462156357</c:v>
                </c:pt>
                <c:pt idx="5">
                  <c:v>8.2518119729937993</c:v>
                </c:pt>
                <c:pt idx="6">
                  <c:v>8.9716664013560656</c:v>
                </c:pt>
                <c:pt idx="7">
                  <c:v>6.426934905044301</c:v>
                </c:pt>
                <c:pt idx="8">
                  <c:v>5.6967485443420607</c:v>
                </c:pt>
                <c:pt idx="9">
                  <c:v>3.486782399932062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 10^5.5'!$A$33</c:f>
              <c:strCache>
                <c:ptCount val="1"/>
                <c:pt idx="0">
                  <c:v>5+2 Vanco BL048 MINS mouse 3 10^5.9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 10^5.5'!$T$2:$T$14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  <c:pt idx="10">
                  <c:v>17.000000000000004</c:v>
                </c:pt>
                <c:pt idx="11">
                  <c:v>21.000000000000004</c:v>
                </c:pt>
                <c:pt idx="12">
                  <c:v>24.000000000000004</c:v>
                </c:pt>
              </c:numCache>
            </c:numRef>
          </c:xVal>
          <c:yVal>
            <c:numRef>
              <c:f>'feces pos ttmnt - PA 10^5.5'!$G$34:$G$47</c:f>
              <c:numCache>
                <c:formatCode>0.000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5.4436974992327123</c:v>
                </c:pt>
                <c:pt idx="4">
                  <c:v>6.2766355567188326</c:v>
                </c:pt>
                <c:pt idx="5">
                  <c:v>6.3199668148133812</c:v>
                </c:pt>
                <c:pt idx="6">
                  <c:v>6.4305960759074612</c:v>
                </c:pt>
                <c:pt idx="7">
                  <c:v>5.8898915024723149</c:v>
                </c:pt>
                <c:pt idx="8">
                  <c:v>5.1477769093472112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solidFill>
                  <a:schemeClr val="tx1"/>
                </a:solidFill>
              </a:rPr>
              <a:t>5+2</a:t>
            </a:r>
            <a:r>
              <a:rPr lang="en-US" sz="1800" baseline="0">
                <a:solidFill>
                  <a:schemeClr val="tx1"/>
                </a:solidFill>
              </a:rPr>
              <a:t> days of v</a:t>
            </a:r>
            <a:r>
              <a:rPr lang="en-US" sz="1800">
                <a:solidFill>
                  <a:schemeClr val="tx1"/>
                </a:solidFill>
              </a:rPr>
              <a:t>ancomycin 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i="0" baseline="0">
                <a:solidFill>
                  <a:schemeClr val="tx1"/>
                </a:solidFill>
              </a:rPr>
              <a:t>BL48 in MINS log 5.9 (blue)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i="0" baseline="0">
                <a:solidFill>
                  <a:schemeClr val="tx1"/>
                </a:solidFill>
              </a:rPr>
              <a:t>BL48 in LB log 5.6 (green)</a:t>
            </a:r>
          </a:p>
          <a:p>
            <a:pPr>
              <a:defRPr sz="18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i="0" baseline="0">
                <a:solidFill>
                  <a:schemeClr val="tx1"/>
                </a:solidFill>
              </a:rPr>
              <a:t>BL12 in LB log 5.5 (purple)</a:t>
            </a:r>
          </a:p>
        </c:rich>
      </c:tx>
      <c:layout>
        <c:manualLayout>
          <c:xMode val="edge"/>
          <c:yMode val="edge"/>
          <c:x val="0.38511373259180115"/>
          <c:y val="2.821807841450726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9651814598600559E-2"/>
          <c:y val="0.10946316037235267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bg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6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70F0-BB48-B50D-2858074BEBE1}"/>
            </c:ext>
          </c:extLst>
        </c:ser>
        <c:ser>
          <c:idx val="4"/>
          <c:order val="1"/>
          <c:tx>
            <c:strRef>
              <c:f>'feces pos ttmnt - PA 10^5.5'!$A$1</c:f>
              <c:strCache>
                <c:ptCount val="1"/>
                <c:pt idx="0">
                  <c:v>5+2 Vanco BL048 MINS mouse 1 10^5.9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10^5.5'!$R$2:$R$16</c:f>
              <c:numCache>
                <c:formatCode>General</c:formatCode>
                <c:ptCount val="15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  <c:pt idx="10">
                  <c:v>16.8</c:v>
                </c:pt>
                <c:pt idx="11">
                  <c:v>20.8</c:v>
                </c:pt>
                <c:pt idx="12">
                  <c:v>23.8</c:v>
                </c:pt>
                <c:pt idx="13">
                  <c:v>25.8</c:v>
                </c:pt>
                <c:pt idx="14">
                  <c:v>27.8</c:v>
                </c:pt>
              </c:numCache>
            </c:numRef>
          </c:xVal>
          <c:yVal>
            <c:numRef>
              <c:f>'feces pos ttmnt - PA 10^5.5'!$G$2:$G$16</c:f>
              <c:numCache>
                <c:formatCode>0.000</c:formatCode>
                <c:ptCount val="15"/>
                <c:pt idx="0">
                  <c:v>8.0624174037986975</c:v>
                </c:pt>
                <c:pt idx="1">
                  <c:v>8.0639097529051291</c:v>
                </c:pt>
                <c:pt idx="2">
                  <c:v>7.4274187986675129</c:v>
                </c:pt>
                <c:pt idx="3">
                  <c:v>7.4993294231355039</c:v>
                </c:pt>
                <c:pt idx="4">
                  <c:v>7.4143137215475035</c:v>
                </c:pt>
                <c:pt idx="5">
                  <c:v>8.3024219663488878</c:v>
                </c:pt>
                <c:pt idx="6">
                  <c:v>7.8682897026761909</c:v>
                </c:pt>
                <c:pt idx="7">
                  <c:v>6.743121968181276</c:v>
                </c:pt>
                <c:pt idx="8">
                  <c:v>5.9879300802327702</c:v>
                </c:pt>
                <c:pt idx="9">
                  <c:v>6.060124330059856</c:v>
                </c:pt>
                <c:pt idx="10">
                  <c:v>3.9247338627245312</c:v>
                </c:pt>
                <c:pt idx="11">
                  <c:v>3.5983123223604569</c:v>
                </c:pt>
                <c:pt idx="12">
                  <c:v>3.4627207365461437</c:v>
                </c:pt>
                <c:pt idx="13">
                  <c:v>2.9708868951075371</c:v>
                </c:pt>
                <c:pt idx="14">
                  <c:v>2.7342390832823891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3CF-DF43-89DA-0F3C3F6EBABA}"/>
            </c:ext>
          </c:extLst>
        </c:ser>
        <c:ser>
          <c:idx val="5"/>
          <c:order val="2"/>
          <c:tx>
            <c:strRef>
              <c:f>'feces pos ttmnt - PA 10^5.5'!$A$17</c:f>
              <c:strCache>
                <c:ptCount val="1"/>
                <c:pt idx="0">
                  <c:v>5+2 Vanco BL048 MINS mouse 2 10^5.9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10^5.5'!$S$2:$S$15</c:f>
              <c:numCache>
                <c:formatCode>General</c:formatCode>
                <c:ptCount val="14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  <c:pt idx="10">
                  <c:v>16.900000000000002</c:v>
                </c:pt>
                <c:pt idx="11">
                  <c:v>20.900000000000002</c:v>
                </c:pt>
                <c:pt idx="12">
                  <c:v>23.900000000000002</c:v>
                </c:pt>
                <c:pt idx="13">
                  <c:v>25.900000000000002</c:v>
                </c:pt>
              </c:numCache>
            </c:numRef>
          </c:xVal>
          <c:yVal>
            <c:numRef>
              <c:f>'feces pos ttmnt - PA 10^5.5'!$G$18:$G$32</c:f>
              <c:numCache>
                <c:formatCode>0.000</c:formatCode>
                <c:ptCount val="15"/>
                <c:pt idx="0">
                  <c:v>5.6575773191777952</c:v>
                </c:pt>
                <c:pt idx="1">
                  <c:v>6.968040982771325</c:v>
                </c:pt>
                <c:pt idx="2">
                  <c:v>7.5399730424684615</c:v>
                </c:pt>
                <c:pt idx="3">
                  <c:v>7.8299828886565122</c:v>
                </c:pt>
                <c:pt idx="4">
                  <c:v>7.9713097462156357</c:v>
                </c:pt>
                <c:pt idx="5">
                  <c:v>8.2518119729937993</c:v>
                </c:pt>
                <c:pt idx="6">
                  <c:v>8.9716664013560656</c:v>
                </c:pt>
                <c:pt idx="7">
                  <c:v>6.426934905044301</c:v>
                </c:pt>
                <c:pt idx="8">
                  <c:v>5.6967485443420607</c:v>
                </c:pt>
                <c:pt idx="9">
                  <c:v>3.486782399932062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3.267338239871147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3CF-DF43-89DA-0F3C3F6EBABA}"/>
            </c:ext>
          </c:extLst>
        </c:ser>
        <c:ser>
          <c:idx val="6"/>
          <c:order val="3"/>
          <c:tx>
            <c:strRef>
              <c:f>'feces pos ttmnt - PA 10^5.5'!$A$33</c:f>
              <c:strCache>
                <c:ptCount val="1"/>
                <c:pt idx="0">
                  <c:v>5+2 Vanco BL048 MINS mouse 3 10^5.9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'feces pos ttmnt - PA 10^5.5'!$T$2:$T$16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  <c:pt idx="10">
                  <c:v>17.000000000000004</c:v>
                </c:pt>
                <c:pt idx="11">
                  <c:v>21.000000000000004</c:v>
                </c:pt>
                <c:pt idx="12">
                  <c:v>24.000000000000004</c:v>
                </c:pt>
                <c:pt idx="13">
                  <c:v>26.000000000000004</c:v>
                </c:pt>
                <c:pt idx="14">
                  <c:v>28.000000000000004</c:v>
                </c:pt>
              </c:numCache>
            </c:numRef>
          </c:xVal>
          <c:yVal>
            <c:numRef>
              <c:f>'feces pos ttmnt - PA 10^5.5'!$G$34:$G$48</c:f>
              <c:numCache>
                <c:formatCode>0.000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5.4436974992327123</c:v>
                </c:pt>
                <c:pt idx="4">
                  <c:v>6.2766355567188326</c:v>
                </c:pt>
                <c:pt idx="5">
                  <c:v>6.3199668148133812</c:v>
                </c:pt>
                <c:pt idx="6">
                  <c:v>6.4305960759074612</c:v>
                </c:pt>
                <c:pt idx="7">
                  <c:v>5.8898915024723149</c:v>
                </c:pt>
                <c:pt idx="8">
                  <c:v>5.1477769093472112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3CF-DF43-89DA-0F3C3F6EBABA}"/>
            </c:ext>
          </c:extLst>
        </c:ser>
        <c:ser>
          <c:idx val="7"/>
          <c:order val="4"/>
          <c:tx>
            <c:strRef>
              <c:f>'feces pos ttmnt - PA 10^5.5'!$A$49</c:f>
              <c:strCache>
                <c:ptCount val="1"/>
                <c:pt idx="0">
                  <c:v>5+2 Vanco BL048 LB mouse 3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'feces pos ttmnt - PA 10^5.5'!$T$2:$T$14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  <c:pt idx="10">
                  <c:v>17.000000000000004</c:v>
                </c:pt>
                <c:pt idx="11">
                  <c:v>21.000000000000004</c:v>
                </c:pt>
                <c:pt idx="12">
                  <c:v>24.000000000000004</c:v>
                </c:pt>
              </c:numCache>
            </c:numRef>
          </c:xVal>
          <c:yVal>
            <c:numRef>
              <c:f>'feces pos ttmnt - PA 10^5.5'!$G$50:$G$64</c:f>
              <c:numCache>
                <c:formatCode>0.000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3.7055337738384062</c:v>
                </c:pt>
                <c:pt idx="3">
                  <c:v>4.5470641297988204</c:v>
                </c:pt>
                <c:pt idx="4">
                  <c:v>4.7047995479967444</c:v>
                </c:pt>
                <c:pt idx="5">
                  <c:v>4.1804560644581272</c:v>
                </c:pt>
                <c:pt idx="6">
                  <c:v>3.8497553981269288</c:v>
                </c:pt>
                <c:pt idx="7">
                  <c:v>0</c:v>
                </c:pt>
                <c:pt idx="8">
                  <c:v>2.7731424297112768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3CF-DF43-89DA-0F3C3F6EBABA}"/>
            </c:ext>
          </c:extLst>
        </c:ser>
        <c:ser>
          <c:idx val="8"/>
          <c:order val="5"/>
          <c:tx>
            <c:strRef>
              <c:f>'feces pos ttmnt - PA 10^5.5'!$A$65</c:f>
              <c:strCache>
                <c:ptCount val="1"/>
                <c:pt idx="0">
                  <c:v>5+2 Vanco BL048 LB mouse 4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'feces pos ttmnt - PA 10^5.5'!$U$2:$U$14</c:f>
              <c:numCache>
                <c:formatCode>General</c:formatCode>
                <c:ptCount val="13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  <c:pt idx="10">
                  <c:v>17.100000000000005</c:v>
                </c:pt>
                <c:pt idx="11">
                  <c:v>21.100000000000005</c:v>
                </c:pt>
                <c:pt idx="12">
                  <c:v>24.100000000000005</c:v>
                </c:pt>
              </c:numCache>
            </c:numRef>
          </c:xVal>
          <c:yVal>
            <c:numRef>
              <c:f>'feces pos ttmnt - PA 10^5.5'!$G$66:$G$80</c:f>
              <c:numCache>
                <c:formatCode>0.000</c:formatCode>
                <c:ptCount val="15"/>
                <c:pt idx="0">
                  <c:v>7.8087353380296607</c:v>
                </c:pt>
                <c:pt idx="1">
                  <c:v>7.6430185990068678</c:v>
                </c:pt>
                <c:pt idx="2">
                  <c:v>7.3692948272225074</c:v>
                </c:pt>
                <c:pt idx="3">
                  <c:v>7.7903475287441122</c:v>
                </c:pt>
                <c:pt idx="4">
                  <c:v>8.2955974712679144</c:v>
                </c:pt>
                <c:pt idx="5">
                  <c:v>7.9367579550538254</c:v>
                </c:pt>
                <c:pt idx="6">
                  <c:v>7.3279021420642838</c:v>
                </c:pt>
                <c:pt idx="7">
                  <c:v>6.6406388972615149</c:v>
                </c:pt>
                <c:pt idx="8">
                  <c:v>6.3201352914532141</c:v>
                </c:pt>
                <c:pt idx="9">
                  <c:v>4.4488069050111934</c:v>
                </c:pt>
                <c:pt idx="10">
                  <c:v>2.7840981867959682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03CF-DF43-89DA-0F3C3F6EBABA}"/>
            </c:ext>
          </c:extLst>
        </c:ser>
        <c:ser>
          <c:idx val="0"/>
          <c:order val="6"/>
          <c:tx>
            <c:strRef>
              <c:f>'feces pos ttmnt - PA 10^5.5'!$A$81</c:f>
              <c:strCache>
                <c:ptCount val="1"/>
                <c:pt idx="0">
                  <c:v>5+2 Vanco BL048 LB mouse 5 10^5.6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'feces pos ttmnt - PA 10^5.5'!$V$2:$V$17</c:f>
              <c:numCache>
                <c:formatCode>General</c:formatCode>
                <c:ptCount val="16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  <c:pt idx="10">
                  <c:v>17.200000000000006</c:v>
                </c:pt>
                <c:pt idx="11">
                  <c:v>21.200000000000006</c:v>
                </c:pt>
                <c:pt idx="12">
                  <c:v>24.200000000000006</c:v>
                </c:pt>
                <c:pt idx="13">
                  <c:v>26.200000000000006</c:v>
                </c:pt>
                <c:pt idx="14">
                  <c:v>28.200000000000006</c:v>
                </c:pt>
              </c:numCache>
            </c:numRef>
          </c:xVal>
          <c:yVal>
            <c:numRef>
              <c:f>'feces pos ttmnt - PA 10^5.5'!$G$82:$G$96</c:f>
              <c:numCache>
                <c:formatCode>0.000</c:formatCode>
                <c:ptCount val="15"/>
                <c:pt idx="0">
                  <c:v>6.4644527208233313</c:v>
                </c:pt>
                <c:pt idx="1">
                  <c:v>7.7736036226329226</c:v>
                </c:pt>
                <c:pt idx="2">
                  <c:v>8.1223145927821516</c:v>
                </c:pt>
                <c:pt idx="3">
                  <c:v>7.5564576336433458</c:v>
                </c:pt>
                <c:pt idx="4">
                  <c:v>8.1299864718096426</c:v>
                </c:pt>
                <c:pt idx="5">
                  <c:v>7.2018776686857358</c:v>
                </c:pt>
                <c:pt idx="6">
                  <c:v>6.0921857063232432</c:v>
                </c:pt>
                <c:pt idx="7">
                  <c:v>6.7692012642798955</c:v>
                </c:pt>
                <c:pt idx="8">
                  <c:v>4.6777807052660787</c:v>
                </c:pt>
                <c:pt idx="9">
                  <c:v>3.4023048140744887</c:v>
                </c:pt>
                <c:pt idx="11">
                  <c:v>3.2127757476695709</c:v>
                </c:pt>
                <c:pt idx="12">
                  <c:v>3.4924814444235754</c:v>
                </c:pt>
                <c:pt idx="13">
                  <c:v>3.4136940652648144</c:v>
                </c:pt>
                <c:pt idx="14">
                  <c:v>2.6375175252488252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D5-B54E-B96C-800F229669A4}"/>
            </c:ext>
          </c:extLst>
        </c:ser>
        <c:ser>
          <c:idx val="1"/>
          <c:order val="7"/>
          <c:tx>
            <c:strRef>
              <c:f>'feces pos ttmnt - PA 10^5.5'!$A$97</c:f>
              <c:strCache>
                <c:ptCount val="1"/>
                <c:pt idx="0">
                  <c:v>5+2 Vanco BL012 LB mouse 1 10^5.5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'feces pos ttmnt - PA 10^5.5'!$R$2:$R$15</c:f>
              <c:numCache>
                <c:formatCode>General</c:formatCode>
                <c:ptCount val="14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  <c:pt idx="10">
                  <c:v>16.8</c:v>
                </c:pt>
                <c:pt idx="11">
                  <c:v>20.8</c:v>
                </c:pt>
                <c:pt idx="12">
                  <c:v>23.8</c:v>
                </c:pt>
                <c:pt idx="13">
                  <c:v>25.8</c:v>
                </c:pt>
              </c:numCache>
            </c:numRef>
          </c:xVal>
          <c:yVal>
            <c:numRef>
              <c:f>'feces pos ttmnt - PA 10^5.5'!$G$98:$G$111</c:f>
              <c:numCache>
                <c:formatCode>0.000</c:formatCode>
                <c:ptCount val="14"/>
                <c:pt idx="0">
                  <c:v>8.0710094430351198</c:v>
                </c:pt>
                <c:pt idx="1">
                  <c:v>6.9478834494500017</c:v>
                </c:pt>
                <c:pt idx="2">
                  <c:v>7.5649516098758003</c:v>
                </c:pt>
                <c:pt idx="3">
                  <c:v>7.141583538666036</c:v>
                </c:pt>
                <c:pt idx="4">
                  <c:v>7.7712295134911464</c:v>
                </c:pt>
                <c:pt idx="5">
                  <c:v>8.051546491420595</c:v>
                </c:pt>
                <c:pt idx="6">
                  <c:v>6.7530795692614589</c:v>
                </c:pt>
                <c:pt idx="7">
                  <c:v>6.1959682306363781</c:v>
                </c:pt>
                <c:pt idx="8">
                  <c:v>6.0754745850100784</c:v>
                </c:pt>
                <c:pt idx="9">
                  <c:v>6.3842836913427297</c:v>
                </c:pt>
                <c:pt idx="10">
                  <c:v>6.3010299956639813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FD5-B54E-B96C-800F229669A4}"/>
            </c:ext>
          </c:extLst>
        </c:ser>
        <c:ser>
          <c:idx val="2"/>
          <c:order val="8"/>
          <c:tx>
            <c:strRef>
              <c:f>'feces pos ttmnt - PA 10^5.5'!$A$113</c:f>
              <c:strCache>
                <c:ptCount val="1"/>
                <c:pt idx="0">
                  <c:v>5+2 Vanco BL012 LB mouse 2 10^5.5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'feces pos ttmnt - PA 10^5.5'!$S$2:$S$15</c:f>
              <c:numCache>
                <c:formatCode>General</c:formatCode>
                <c:ptCount val="14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  <c:pt idx="10">
                  <c:v>16.900000000000002</c:v>
                </c:pt>
                <c:pt idx="11">
                  <c:v>20.900000000000002</c:v>
                </c:pt>
                <c:pt idx="12">
                  <c:v>23.900000000000002</c:v>
                </c:pt>
                <c:pt idx="13">
                  <c:v>25.900000000000002</c:v>
                </c:pt>
              </c:numCache>
            </c:numRef>
          </c:xVal>
          <c:yVal>
            <c:numRef>
              <c:f>'feces pos ttmnt - PA 10^5.5'!$G$114:$G$128</c:f>
              <c:numCache>
                <c:formatCode>0.000</c:formatCode>
                <c:ptCount val="15"/>
                <c:pt idx="0">
                  <c:v>7.1953306170413507</c:v>
                </c:pt>
                <c:pt idx="1">
                  <c:v>6.7212463990471711</c:v>
                </c:pt>
                <c:pt idx="2">
                  <c:v>7.7121982700697744</c:v>
                </c:pt>
                <c:pt idx="3">
                  <c:v>7.2880474004195763</c:v>
                </c:pt>
                <c:pt idx="4">
                  <c:v>6.7155692661554802</c:v>
                </c:pt>
                <c:pt idx="5">
                  <c:v>7.5064645001447028</c:v>
                </c:pt>
                <c:pt idx="6">
                  <c:v>6.70521895361302</c:v>
                </c:pt>
                <c:pt idx="7">
                  <c:v>6.7121982700697727</c:v>
                </c:pt>
                <c:pt idx="8">
                  <c:v>6.6353768567129929</c:v>
                </c:pt>
                <c:pt idx="9">
                  <c:v>6.444905551421682</c:v>
                </c:pt>
                <c:pt idx="10">
                  <c:v>6.0252445574301294</c:v>
                </c:pt>
                <c:pt idx="11">
                  <c:v>5.7095201866693257</c:v>
                </c:pt>
                <c:pt idx="12">
                  <c:v>3.8672601617391158</c:v>
                </c:pt>
                <c:pt idx="13">
                  <c:v>3.9952011171182313</c:v>
                </c:pt>
                <c:pt idx="14">
                  <c:v>4.2185208062674286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FD5-B54E-B96C-800F229669A4}"/>
            </c:ext>
          </c:extLst>
        </c:ser>
        <c:ser>
          <c:idx val="3"/>
          <c:order val="9"/>
          <c:tx>
            <c:strRef>
              <c:f>'feces pos ttmnt - PA 10^5.5'!$A$129</c:f>
              <c:strCache>
                <c:ptCount val="1"/>
                <c:pt idx="0">
                  <c:v>5+2 Vanco BL012 LB mouse 4 10^5.5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'feces pos ttmnt - PA 10^5.5'!$U$2:$U$17</c:f>
              <c:numCache>
                <c:formatCode>General</c:formatCode>
                <c:ptCount val="16"/>
                <c:pt idx="0">
                  <c:v>1.1000000000000001</c:v>
                </c:pt>
                <c:pt idx="1">
                  <c:v>2.1</c:v>
                </c:pt>
                <c:pt idx="2">
                  <c:v>3.1</c:v>
                </c:pt>
                <c:pt idx="3">
                  <c:v>4.0999999999999996</c:v>
                </c:pt>
                <c:pt idx="4">
                  <c:v>5.0999999999999988</c:v>
                </c:pt>
                <c:pt idx="5">
                  <c:v>6.0999999999999988</c:v>
                </c:pt>
                <c:pt idx="6">
                  <c:v>7.0999999999999988</c:v>
                </c:pt>
                <c:pt idx="7">
                  <c:v>10.1</c:v>
                </c:pt>
                <c:pt idx="8">
                  <c:v>12.1</c:v>
                </c:pt>
                <c:pt idx="9">
                  <c:v>14.1</c:v>
                </c:pt>
                <c:pt idx="10">
                  <c:v>17.100000000000005</c:v>
                </c:pt>
                <c:pt idx="11">
                  <c:v>21.100000000000005</c:v>
                </c:pt>
                <c:pt idx="12">
                  <c:v>24.100000000000005</c:v>
                </c:pt>
                <c:pt idx="13">
                  <c:v>26.100000000000005</c:v>
                </c:pt>
                <c:pt idx="14">
                  <c:v>28.100000000000005</c:v>
                </c:pt>
              </c:numCache>
            </c:numRef>
          </c:xVal>
          <c:yVal>
            <c:numRef>
              <c:f>'feces pos ttmnt - PA 10^5.5'!$G$130:$G$144</c:f>
              <c:numCache>
                <c:formatCode>0.000</c:formatCode>
                <c:ptCount val="15"/>
                <c:pt idx="0">
                  <c:v>7.1056136005299342</c:v>
                </c:pt>
                <c:pt idx="1">
                  <c:v>6.1108851310013694</c:v>
                </c:pt>
                <c:pt idx="2">
                  <c:v>7.790367592705767</c:v>
                </c:pt>
                <c:pt idx="3">
                  <c:v>6.9258982794816504</c:v>
                </c:pt>
                <c:pt idx="4">
                  <c:v>7.9850596502070674</c:v>
                </c:pt>
                <c:pt idx="5">
                  <c:v>7.6562632652799634</c:v>
                </c:pt>
                <c:pt idx="6">
                  <c:v>7.7898480525741656</c:v>
                </c:pt>
                <c:pt idx="7">
                  <c:v>6.5478211672827298</c:v>
                </c:pt>
                <c:pt idx="8">
                  <c:v>5.8546580178972611</c:v>
                </c:pt>
                <c:pt idx="9">
                  <c:v>5.9089195306526694</c:v>
                </c:pt>
                <c:pt idx="10">
                  <c:v>3.7380238086021893</c:v>
                </c:pt>
                <c:pt idx="11">
                  <c:v>3.3362990746103525</c:v>
                </c:pt>
                <c:pt idx="12">
                  <c:v>2.8601209135987635</c:v>
                </c:pt>
                <c:pt idx="13">
                  <c:v>0</c:v>
                </c:pt>
                <c:pt idx="14">
                  <c:v>3.8079904073463289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FD5-B54E-B96C-800F229669A4}"/>
            </c:ext>
          </c:extLst>
        </c:ser>
        <c:ser>
          <c:idx val="9"/>
          <c:order val="10"/>
          <c:tx>
            <c:strRef>
              <c:f>'feces pos ttmnt - PA 10^5.5'!$A$145</c:f>
              <c:strCache>
                <c:ptCount val="1"/>
                <c:pt idx="0">
                  <c:v>5+2 Vanco BL012 LB mouse 5 10^5.5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'feces pos ttmnt - PA 10^5.5'!$V$2:$V$15</c:f>
              <c:numCache>
                <c:formatCode>General</c:formatCode>
                <c:ptCount val="14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  <c:pt idx="10">
                  <c:v>17.200000000000006</c:v>
                </c:pt>
                <c:pt idx="11">
                  <c:v>21.200000000000006</c:v>
                </c:pt>
                <c:pt idx="12">
                  <c:v>24.200000000000006</c:v>
                </c:pt>
                <c:pt idx="13">
                  <c:v>26.200000000000006</c:v>
                </c:pt>
              </c:numCache>
            </c:numRef>
          </c:xVal>
          <c:yVal>
            <c:numRef>
              <c:f>'feces pos ttmnt - PA 10^5.5'!$G$146:$G$160</c:f>
              <c:numCache>
                <c:formatCode>0.000</c:formatCode>
                <c:ptCount val="15"/>
                <c:pt idx="0">
                  <c:v>7.8330521203841847</c:v>
                </c:pt>
                <c:pt idx="1">
                  <c:v>6.7999707334462292</c:v>
                </c:pt>
                <c:pt idx="2">
                  <c:v>7.8554257923903821</c:v>
                </c:pt>
                <c:pt idx="3">
                  <c:v>6.6236838021719189</c:v>
                </c:pt>
                <c:pt idx="4">
                  <c:v>7.5433448227311803</c:v>
                </c:pt>
                <c:pt idx="5">
                  <c:v>8.083058901110828</c:v>
                </c:pt>
                <c:pt idx="6">
                  <c:v>7.4061603389187303</c:v>
                </c:pt>
                <c:pt idx="7">
                  <c:v>6.7880827795042125</c:v>
                </c:pt>
                <c:pt idx="8">
                  <c:v>5.1042092517495572</c:v>
                </c:pt>
                <c:pt idx="9">
                  <c:v>4.9746941347352296</c:v>
                </c:pt>
                <c:pt idx="10">
                  <c:v>5.0669467896306131</c:v>
                </c:pt>
                <c:pt idx="11">
                  <c:v>3.6013656754616084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FD5-B54E-B96C-800F22966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gavage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5+2 days vancomycin treatment</a:t>
            </a:r>
            <a:endParaRPr lang="en-US" sz="2000" baseline="0">
              <a:solidFill>
                <a:schemeClr val="tx1"/>
              </a:solidFill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BL48 grown in LB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log 5.6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7AE-0C49-9A3F-F6BEC3E4086E}"/>
            </c:ext>
          </c:extLst>
        </c:ser>
        <c:ser>
          <c:idx val="0"/>
          <c:order val="1"/>
          <c:tx>
            <c:strRef>
              <c:f>'feces pos ttmnt - PA 10^5.5'!$A$49</c:f>
              <c:strCache>
                <c:ptCount val="1"/>
                <c:pt idx="0">
                  <c:v>5+2 Vanco BL048 LB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 10^5.5'!$R$2:$R$14</c:f>
              <c:numCache>
                <c:formatCode>General</c:formatCode>
                <c:ptCount val="13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  <c:pt idx="10">
                  <c:v>16.8</c:v>
                </c:pt>
                <c:pt idx="11">
                  <c:v>20.8</c:v>
                </c:pt>
                <c:pt idx="12">
                  <c:v>23.8</c:v>
                </c:pt>
              </c:numCache>
            </c:numRef>
          </c:xVal>
          <c:yVal>
            <c:numRef>
              <c:f>'feces pos ttmnt - PA 10^5.5'!$G$50:$G$64</c:f>
              <c:numCache>
                <c:formatCode>0.000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3.7055337738384062</c:v>
                </c:pt>
                <c:pt idx="3">
                  <c:v>4.5470641297988204</c:v>
                </c:pt>
                <c:pt idx="4">
                  <c:v>4.7047995479967444</c:v>
                </c:pt>
                <c:pt idx="5">
                  <c:v>4.1804560644581272</c:v>
                </c:pt>
                <c:pt idx="6">
                  <c:v>3.8497553981269288</c:v>
                </c:pt>
                <c:pt idx="7">
                  <c:v>0</c:v>
                </c:pt>
                <c:pt idx="8">
                  <c:v>2.7731424297112768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7AE-0C49-9A3F-F6BEC3E4086E}"/>
            </c:ext>
          </c:extLst>
        </c:ser>
        <c:ser>
          <c:idx val="3"/>
          <c:order val="2"/>
          <c:tx>
            <c:strRef>
              <c:f>'feces pos ttmnt - PA 10^5.5'!$A$65</c:f>
              <c:strCache>
                <c:ptCount val="1"/>
                <c:pt idx="0">
                  <c:v>5+2 Vanco BL048 LB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 10^5.5'!$S$2:$S$14</c:f>
              <c:numCache>
                <c:formatCode>General</c:formatCode>
                <c:ptCount val="13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  <c:pt idx="10">
                  <c:v>16.900000000000002</c:v>
                </c:pt>
                <c:pt idx="11">
                  <c:v>20.900000000000002</c:v>
                </c:pt>
                <c:pt idx="12">
                  <c:v>23.900000000000002</c:v>
                </c:pt>
              </c:numCache>
            </c:numRef>
          </c:xVal>
          <c:yVal>
            <c:numRef>
              <c:f>'feces pos ttmnt - PA 10^5.5'!$G$66:$G$80</c:f>
              <c:numCache>
                <c:formatCode>0.000</c:formatCode>
                <c:ptCount val="15"/>
                <c:pt idx="0">
                  <c:v>7.8087353380296607</c:v>
                </c:pt>
                <c:pt idx="1">
                  <c:v>7.6430185990068678</c:v>
                </c:pt>
                <c:pt idx="2">
                  <c:v>7.3692948272225074</c:v>
                </c:pt>
                <c:pt idx="3">
                  <c:v>7.7903475287441122</c:v>
                </c:pt>
                <c:pt idx="4">
                  <c:v>8.2955974712679144</c:v>
                </c:pt>
                <c:pt idx="5">
                  <c:v>7.9367579550538254</c:v>
                </c:pt>
                <c:pt idx="6">
                  <c:v>7.3279021420642838</c:v>
                </c:pt>
                <c:pt idx="7">
                  <c:v>6.6406388972615149</c:v>
                </c:pt>
                <c:pt idx="8">
                  <c:v>6.3201352914532141</c:v>
                </c:pt>
                <c:pt idx="9">
                  <c:v>4.4488069050111934</c:v>
                </c:pt>
                <c:pt idx="10">
                  <c:v>2.7840981867959682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7AE-0C49-9A3F-F6BEC3E4086E}"/>
            </c:ext>
          </c:extLst>
        </c:ser>
        <c:ser>
          <c:idx val="1"/>
          <c:order val="3"/>
          <c:tx>
            <c:strRef>
              <c:f>'feces pos ttmnt - PA 10^5.5'!$A$81</c:f>
              <c:strCache>
                <c:ptCount val="1"/>
                <c:pt idx="0">
                  <c:v>5+2 Vanco BL048 LB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 10^5.5'!$T$2:$T$14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  <c:pt idx="10">
                  <c:v>17.000000000000004</c:v>
                </c:pt>
                <c:pt idx="11">
                  <c:v>21.000000000000004</c:v>
                </c:pt>
                <c:pt idx="12">
                  <c:v>24.000000000000004</c:v>
                </c:pt>
              </c:numCache>
            </c:numRef>
          </c:xVal>
          <c:yVal>
            <c:numRef>
              <c:f>'feces pos ttmnt - PA 10^5.5'!$G$82:$G$96</c:f>
              <c:numCache>
                <c:formatCode>0.000</c:formatCode>
                <c:ptCount val="15"/>
                <c:pt idx="0">
                  <c:v>6.4644527208233313</c:v>
                </c:pt>
                <c:pt idx="1">
                  <c:v>7.7736036226329226</c:v>
                </c:pt>
                <c:pt idx="2">
                  <c:v>8.1223145927821516</c:v>
                </c:pt>
                <c:pt idx="3">
                  <c:v>7.5564576336433458</c:v>
                </c:pt>
                <c:pt idx="4">
                  <c:v>8.1299864718096426</c:v>
                </c:pt>
                <c:pt idx="5">
                  <c:v>7.2018776686857358</c:v>
                </c:pt>
                <c:pt idx="6">
                  <c:v>6.0921857063232432</c:v>
                </c:pt>
                <c:pt idx="7">
                  <c:v>6.7692012642798955</c:v>
                </c:pt>
                <c:pt idx="8">
                  <c:v>4.6777807052660787</c:v>
                </c:pt>
                <c:pt idx="9">
                  <c:v>3.4023048140744887</c:v>
                </c:pt>
                <c:pt idx="11">
                  <c:v>3.2127757476695709</c:v>
                </c:pt>
                <c:pt idx="12">
                  <c:v>3.4924814444235754</c:v>
                </c:pt>
                <c:pt idx="13">
                  <c:v>3.4136940652648144</c:v>
                </c:pt>
                <c:pt idx="14">
                  <c:v>2.6375175252488252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7AE-0C49-9A3F-F6BEC3E40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5+2 days vancomycin treatment</a:t>
            </a:r>
            <a:endParaRPr lang="en-US" sz="2000" baseline="0">
              <a:solidFill>
                <a:schemeClr val="tx1"/>
              </a:solidFill>
            </a:endParaRP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BL12 grown in LB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i="0" baseline="0">
                <a:solidFill>
                  <a:schemeClr val="tx1"/>
                </a:solidFill>
              </a:rPr>
              <a:t>log 5.5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43-304E-BE30-ECC536D31729}"/>
            </c:ext>
          </c:extLst>
        </c:ser>
        <c:ser>
          <c:idx val="0"/>
          <c:order val="1"/>
          <c:tx>
            <c:strRef>
              <c:f>'feces pos ttmnt - PA 10^5.5'!$A$97</c:f>
              <c:strCache>
                <c:ptCount val="1"/>
                <c:pt idx="0">
                  <c:v>5+2 Vanco BL012 LB mouse 1 10^5.5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 10^5.5'!$R$2:$R$16</c:f>
              <c:numCache>
                <c:formatCode>General</c:formatCode>
                <c:ptCount val="15"/>
                <c:pt idx="0">
                  <c:v>0.8</c:v>
                </c:pt>
                <c:pt idx="1">
                  <c:v>1.8</c:v>
                </c:pt>
                <c:pt idx="2">
                  <c:v>2.8</c:v>
                </c:pt>
                <c:pt idx="3">
                  <c:v>3.8</c:v>
                </c:pt>
                <c:pt idx="4">
                  <c:v>4.8</c:v>
                </c:pt>
                <c:pt idx="5">
                  <c:v>5.8</c:v>
                </c:pt>
                <c:pt idx="6">
                  <c:v>6.8</c:v>
                </c:pt>
                <c:pt idx="7">
                  <c:v>9.8000000000000007</c:v>
                </c:pt>
                <c:pt idx="8">
                  <c:v>11.8</c:v>
                </c:pt>
                <c:pt idx="9">
                  <c:v>13.8</c:v>
                </c:pt>
                <c:pt idx="10">
                  <c:v>16.8</c:v>
                </c:pt>
                <c:pt idx="11">
                  <c:v>20.8</c:v>
                </c:pt>
                <c:pt idx="12">
                  <c:v>23.8</c:v>
                </c:pt>
                <c:pt idx="13">
                  <c:v>25.8</c:v>
                </c:pt>
                <c:pt idx="14">
                  <c:v>27.8</c:v>
                </c:pt>
              </c:numCache>
            </c:numRef>
          </c:xVal>
          <c:yVal>
            <c:numRef>
              <c:f>'feces pos ttmnt - PA 10^5.5'!$G$98:$G$111</c:f>
              <c:numCache>
                <c:formatCode>0.000</c:formatCode>
                <c:ptCount val="14"/>
                <c:pt idx="0">
                  <c:v>8.0710094430351198</c:v>
                </c:pt>
                <c:pt idx="1">
                  <c:v>6.9478834494500017</c:v>
                </c:pt>
                <c:pt idx="2">
                  <c:v>7.5649516098758003</c:v>
                </c:pt>
                <c:pt idx="3">
                  <c:v>7.141583538666036</c:v>
                </c:pt>
                <c:pt idx="4">
                  <c:v>7.7712295134911464</c:v>
                </c:pt>
                <c:pt idx="5">
                  <c:v>8.051546491420595</c:v>
                </c:pt>
                <c:pt idx="6">
                  <c:v>6.7530795692614589</c:v>
                </c:pt>
                <c:pt idx="7">
                  <c:v>6.1959682306363781</c:v>
                </c:pt>
                <c:pt idx="8">
                  <c:v>6.0754745850100784</c:v>
                </c:pt>
                <c:pt idx="9">
                  <c:v>6.3842836913427297</c:v>
                </c:pt>
                <c:pt idx="10">
                  <c:v>6.3010299956639813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243-304E-BE30-ECC536D31729}"/>
            </c:ext>
          </c:extLst>
        </c:ser>
        <c:ser>
          <c:idx val="3"/>
          <c:order val="2"/>
          <c:tx>
            <c:strRef>
              <c:f>'feces pos ttmnt - PA 10^5.5'!$A$113</c:f>
              <c:strCache>
                <c:ptCount val="1"/>
                <c:pt idx="0">
                  <c:v>5+2 Vanco BL012 LB mouse 2 10^5.5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 10^5.5'!$S$2:$S$15</c:f>
              <c:numCache>
                <c:formatCode>General</c:formatCode>
                <c:ptCount val="14"/>
                <c:pt idx="0">
                  <c:v>0.9</c:v>
                </c:pt>
                <c:pt idx="1">
                  <c:v>1.9000000000000001</c:v>
                </c:pt>
                <c:pt idx="2">
                  <c:v>2.9</c:v>
                </c:pt>
                <c:pt idx="3">
                  <c:v>3.9</c:v>
                </c:pt>
                <c:pt idx="4">
                  <c:v>4.8999999999999995</c:v>
                </c:pt>
                <c:pt idx="5">
                  <c:v>5.8999999999999995</c:v>
                </c:pt>
                <c:pt idx="6">
                  <c:v>6.8999999999999995</c:v>
                </c:pt>
                <c:pt idx="7">
                  <c:v>9.9</c:v>
                </c:pt>
                <c:pt idx="8">
                  <c:v>11.9</c:v>
                </c:pt>
                <c:pt idx="9">
                  <c:v>13.9</c:v>
                </c:pt>
                <c:pt idx="10">
                  <c:v>16.900000000000002</c:v>
                </c:pt>
                <c:pt idx="11">
                  <c:v>20.900000000000002</c:v>
                </c:pt>
                <c:pt idx="12">
                  <c:v>23.900000000000002</c:v>
                </c:pt>
                <c:pt idx="13">
                  <c:v>25.900000000000002</c:v>
                </c:pt>
              </c:numCache>
            </c:numRef>
          </c:xVal>
          <c:yVal>
            <c:numRef>
              <c:f>'feces pos ttmnt - PA 10^5.5'!$G$114:$G$128</c:f>
              <c:numCache>
                <c:formatCode>0.000</c:formatCode>
                <c:ptCount val="15"/>
                <c:pt idx="0">
                  <c:v>7.1953306170413507</c:v>
                </c:pt>
                <c:pt idx="1">
                  <c:v>6.7212463990471711</c:v>
                </c:pt>
                <c:pt idx="2">
                  <c:v>7.7121982700697744</c:v>
                </c:pt>
                <c:pt idx="3">
                  <c:v>7.2880474004195763</c:v>
                </c:pt>
                <c:pt idx="4">
                  <c:v>6.7155692661554802</c:v>
                </c:pt>
                <c:pt idx="5">
                  <c:v>7.5064645001447028</c:v>
                </c:pt>
                <c:pt idx="6">
                  <c:v>6.70521895361302</c:v>
                </c:pt>
                <c:pt idx="7">
                  <c:v>6.7121982700697727</c:v>
                </c:pt>
                <c:pt idx="8">
                  <c:v>6.6353768567129929</c:v>
                </c:pt>
                <c:pt idx="9">
                  <c:v>6.444905551421682</c:v>
                </c:pt>
                <c:pt idx="10">
                  <c:v>6.0252445574301294</c:v>
                </c:pt>
                <c:pt idx="11">
                  <c:v>5.7095201866693257</c:v>
                </c:pt>
                <c:pt idx="12">
                  <c:v>3.8672601617391158</c:v>
                </c:pt>
                <c:pt idx="13">
                  <c:v>3.9952011171182313</c:v>
                </c:pt>
                <c:pt idx="14">
                  <c:v>4.2185208062674286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243-304E-BE30-ECC536D31729}"/>
            </c:ext>
          </c:extLst>
        </c:ser>
        <c:ser>
          <c:idx val="1"/>
          <c:order val="3"/>
          <c:tx>
            <c:strRef>
              <c:f>'feces pos ttmnt - PA 10^5.5'!$A$129</c:f>
              <c:strCache>
                <c:ptCount val="1"/>
                <c:pt idx="0">
                  <c:v>5+2 Vanco BL012 LB mouse 4 10^5.5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 10^5.5'!$T$2:$T$15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4.9999999999999991</c:v>
                </c:pt>
                <c:pt idx="5">
                  <c:v>5.9999999999999991</c:v>
                </c:pt>
                <c:pt idx="6">
                  <c:v>6.9999999999999991</c:v>
                </c:pt>
                <c:pt idx="7">
                  <c:v>10</c:v>
                </c:pt>
                <c:pt idx="8">
                  <c:v>12</c:v>
                </c:pt>
                <c:pt idx="9">
                  <c:v>14</c:v>
                </c:pt>
                <c:pt idx="10">
                  <c:v>17.000000000000004</c:v>
                </c:pt>
                <c:pt idx="11">
                  <c:v>21.000000000000004</c:v>
                </c:pt>
                <c:pt idx="12">
                  <c:v>24.000000000000004</c:v>
                </c:pt>
                <c:pt idx="13">
                  <c:v>26.000000000000004</c:v>
                </c:pt>
              </c:numCache>
            </c:numRef>
          </c:xVal>
          <c:yVal>
            <c:numRef>
              <c:f>'feces pos ttmnt - PA 10^5.5'!$G$130:$G$144</c:f>
              <c:numCache>
                <c:formatCode>0.000</c:formatCode>
                <c:ptCount val="15"/>
                <c:pt idx="0">
                  <c:v>7.1056136005299342</c:v>
                </c:pt>
                <c:pt idx="1">
                  <c:v>6.1108851310013694</c:v>
                </c:pt>
                <c:pt idx="2">
                  <c:v>7.790367592705767</c:v>
                </c:pt>
                <c:pt idx="3">
                  <c:v>6.9258982794816504</c:v>
                </c:pt>
                <c:pt idx="4">
                  <c:v>7.9850596502070674</c:v>
                </c:pt>
                <c:pt idx="5">
                  <c:v>7.6562632652799634</c:v>
                </c:pt>
                <c:pt idx="6">
                  <c:v>7.7898480525741656</c:v>
                </c:pt>
                <c:pt idx="7">
                  <c:v>6.5478211672827298</c:v>
                </c:pt>
                <c:pt idx="8">
                  <c:v>5.8546580178972611</c:v>
                </c:pt>
                <c:pt idx="9">
                  <c:v>5.9089195306526694</c:v>
                </c:pt>
                <c:pt idx="10">
                  <c:v>3.7380238086021893</c:v>
                </c:pt>
                <c:pt idx="11">
                  <c:v>3.3362990746103525</c:v>
                </c:pt>
                <c:pt idx="12">
                  <c:v>2.8601209135987635</c:v>
                </c:pt>
                <c:pt idx="13">
                  <c:v>0</c:v>
                </c:pt>
                <c:pt idx="14">
                  <c:v>3.8079904073463289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243-304E-BE30-ECC536D31729}"/>
            </c:ext>
          </c:extLst>
        </c:ser>
        <c:ser>
          <c:idx val="2"/>
          <c:order val="4"/>
          <c:tx>
            <c:strRef>
              <c:f>'feces pos ttmnt - PA 10^5.5'!$A$145</c:f>
              <c:strCache>
                <c:ptCount val="1"/>
                <c:pt idx="0">
                  <c:v>5+2 Vanco BL012 LB mouse 5 10^5.5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 10^5.5'!$V$2:$V$15</c:f>
              <c:numCache>
                <c:formatCode>General</c:formatCode>
                <c:ptCount val="14"/>
                <c:pt idx="0">
                  <c:v>1.2000000000000002</c:v>
                </c:pt>
                <c:pt idx="1">
                  <c:v>2.2000000000000002</c:v>
                </c:pt>
                <c:pt idx="2">
                  <c:v>3.2</c:v>
                </c:pt>
                <c:pt idx="3">
                  <c:v>4.1999999999999993</c:v>
                </c:pt>
                <c:pt idx="4">
                  <c:v>5.1999999999999984</c:v>
                </c:pt>
                <c:pt idx="5">
                  <c:v>6.1999999999999984</c:v>
                </c:pt>
                <c:pt idx="6">
                  <c:v>7.1999999999999984</c:v>
                </c:pt>
                <c:pt idx="7">
                  <c:v>10.199999999999999</c:v>
                </c:pt>
                <c:pt idx="8">
                  <c:v>12.2</c:v>
                </c:pt>
                <c:pt idx="9">
                  <c:v>14.2</c:v>
                </c:pt>
                <c:pt idx="10">
                  <c:v>17.200000000000006</c:v>
                </c:pt>
                <c:pt idx="11">
                  <c:v>21.200000000000006</c:v>
                </c:pt>
                <c:pt idx="12">
                  <c:v>24.200000000000006</c:v>
                </c:pt>
                <c:pt idx="13">
                  <c:v>26.200000000000006</c:v>
                </c:pt>
              </c:numCache>
            </c:numRef>
          </c:xVal>
          <c:yVal>
            <c:numRef>
              <c:f>'feces pos ttmnt - PA 10^5.5'!$G$146:$G$160</c:f>
              <c:numCache>
                <c:formatCode>0.000</c:formatCode>
                <c:ptCount val="15"/>
                <c:pt idx="0">
                  <c:v>7.8330521203841847</c:v>
                </c:pt>
                <c:pt idx="1">
                  <c:v>6.7999707334462292</c:v>
                </c:pt>
                <c:pt idx="2">
                  <c:v>7.8554257923903821</c:v>
                </c:pt>
                <c:pt idx="3">
                  <c:v>6.6236838021719189</c:v>
                </c:pt>
                <c:pt idx="4">
                  <c:v>7.5433448227311803</c:v>
                </c:pt>
                <c:pt idx="5">
                  <c:v>8.083058901110828</c:v>
                </c:pt>
                <c:pt idx="6">
                  <c:v>7.4061603389187303</c:v>
                </c:pt>
                <c:pt idx="7">
                  <c:v>6.7880827795042125</c:v>
                </c:pt>
                <c:pt idx="8">
                  <c:v>5.1042092517495572</c:v>
                </c:pt>
                <c:pt idx="9">
                  <c:v>4.9746941347352296</c:v>
                </c:pt>
                <c:pt idx="10">
                  <c:v>5.0669467896306131</c:v>
                </c:pt>
                <c:pt idx="11">
                  <c:v>3.6013656754616084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243-304E-BE30-ECC536D31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2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0</xdr:rowOff>
    </xdr:from>
    <xdr:to>
      <xdr:col>17</xdr:col>
      <xdr:colOff>91390</xdr:colOff>
      <xdr:row>18</xdr:row>
      <xdr:rowOff>323070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44562</xdr:colOff>
      <xdr:row>48</xdr:row>
      <xdr:rowOff>329216</xdr:rowOff>
    </xdr:from>
    <xdr:to>
      <xdr:col>19</xdr:col>
      <xdr:colOff>254000</xdr:colOff>
      <xdr:row>69</xdr:row>
      <xdr:rowOff>181143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7F539F2-964B-4441-9AAC-F64E35EBA6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21</xdr:row>
      <xdr:rowOff>0</xdr:rowOff>
    </xdr:from>
    <xdr:to>
      <xdr:col>17</xdr:col>
      <xdr:colOff>79804</xdr:colOff>
      <xdr:row>48</xdr:row>
      <xdr:rowOff>252564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A375F9F-DB51-0744-B1FE-4C964FB503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73</xdr:row>
      <xdr:rowOff>0</xdr:rowOff>
    </xdr:from>
    <xdr:to>
      <xdr:col>17</xdr:col>
      <xdr:colOff>79804</xdr:colOff>
      <xdr:row>97</xdr:row>
      <xdr:rowOff>33598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C123F31-D925-3B46-97A9-C287069710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N15"/>
  <sheetViews>
    <sheetView workbookViewId="0">
      <selection activeCell="N12" sqref="N12:N13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4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</row>
    <row r="2" spans="1:14" x14ac:dyDescent="0.2">
      <c r="A2" s="8" t="s">
        <v>25</v>
      </c>
      <c r="B2" s="9">
        <v>393075649.08999997</v>
      </c>
      <c r="C2" s="9">
        <v>45897716.979999997</v>
      </c>
      <c r="D2" s="10">
        <v>7</v>
      </c>
      <c r="E2" s="11">
        <f>(((10^D2)/0.05)-C2)/B2</f>
        <v>0.39204230375694482</v>
      </c>
      <c r="I2" s="39" t="s">
        <v>26</v>
      </c>
      <c r="J2">
        <v>19</v>
      </c>
      <c r="K2" s="15">
        <v>10000</v>
      </c>
      <c r="L2" s="15">
        <f>J2*5*K2</f>
        <v>950000</v>
      </c>
      <c r="M2" s="40">
        <f>AVERAGE(L2:L3)</f>
        <v>750000</v>
      </c>
      <c r="N2" s="41">
        <f>LOG10(M2)</f>
        <v>5.8750612633917001</v>
      </c>
    </row>
    <row r="3" spans="1:14" x14ac:dyDescent="0.2">
      <c r="A3" s="12"/>
      <c r="B3" s="9">
        <v>393075649.08999997</v>
      </c>
      <c r="C3" s="9">
        <v>45897716.979999997</v>
      </c>
      <c r="D3" s="13">
        <f>LOG(((E3*B3)+C3)*0.05)</f>
        <v>7.0016677909042251</v>
      </c>
      <c r="E3" s="20">
        <v>0.39400000000000002</v>
      </c>
      <c r="I3" s="39"/>
      <c r="J3">
        <v>11</v>
      </c>
      <c r="K3" s="15">
        <v>10000</v>
      </c>
      <c r="L3" s="15">
        <f>J3*5*K3</f>
        <v>550000</v>
      </c>
      <c r="M3" s="40"/>
      <c r="N3" s="41"/>
    </row>
    <row r="4" spans="1:14" x14ac:dyDescent="0.2">
      <c r="A4" s="8"/>
      <c r="B4" s="9"/>
      <c r="C4" s="9"/>
      <c r="D4" s="10"/>
      <c r="E4" s="11"/>
      <c r="I4" s="39" t="s">
        <v>27</v>
      </c>
      <c r="J4">
        <v>39</v>
      </c>
      <c r="K4" s="28">
        <v>10000</v>
      </c>
      <c r="L4" s="28">
        <f>J4*5*K4</f>
        <v>1950000</v>
      </c>
      <c r="M4" s="40">
        <f>AVERAGE(L4:L5)</f>
        <v>1875000</v>
      </c>
      <c r="N4" s="42">
        <f>LOG10(M4)</f>
        <v>6.2730012720637376</v>
      </c>
    </row>
    <row r="5" spans="1:14" x14ac:dyDescent="0.2">
      <c r="A5" s="12"/>
      <c r="B5" s="9"/>
      <c r="C5" s="9"/>
      <c r="D5" s="13"/>
      <c r="E5" s="20"/>
      <c r="I5" s="39"/>
      <c r="J5">
        <v>36</v>
      </c>
      <c r="K5" s="28">
        <v>10000</v>
      </c>
      <c r="L5" s="28">
        <f>J5*5*K5</f>
        <v>1800000</v>
      </c>
      <c r="M5" s="40"/>
      <c r="N5" s="42"/>
    </row>
    <row r="7" spans="1:14" x14ac:dyDescent="0.2">
      <c r="I7" s="39" t="s">
        <v>28</v>
      </c>
      <c r="J7">
        <v>7</v>
      </c>
      <c r="K7" s="28">
        <v>10000</v>
      </c>
      <c r="L7" s="28">
        <f>J7*5*K7</f>
        <v>350000</v>
      </c>
      <c r="M7" s="40">
        <f>AVERAGE(L7:L8)</f>
        <v>450000</v>
      </c>
      <c r="N7" s="41">
        <f>LOG10(M7)</f>
        <v>5.653212513775344</v>
      </c>
    </row>
    <row r="8" spans="1:14" x14ac:dyDescent="0.2">
      <c r="I8" s="39"/>
      <c r="J8">
        <v>11</v>
      </c>
      <c r="K8" s="28">
        <v>10000</v>
      </c>
      <c r="L8" s="28">
        <f>J8*5*K8</f>
        <v>550000</v>
      </c>
      <c r="M8" s="40"/>
      <c r="N8" s="41"/>
    </row>
    <row r="9" spans="1:14" x14ac:dyDescent="0.2">
      <c r="I9" s="39" t="s">
        <v>29</v>
      </c>
      <c r="J9">
        <v>70</v>
      </c>
      <c r="K9" s="28">
        <v>100000</v>
      </c>
      <c r="L9" s="28">
        <f>J9*5*K9</f>
        <v>35000000</v>
      </c>
      <c r="M9" s="40">
        <f>AVERAGE(L9:L10)</f>
        <v>17500000</v>
      </c>
      <c r="N9" s="42">
        <f>LOG10(M9)</f>
        <v>7.2430380486862944</v>
      </c>
    </row>
    <row r="10" spans="1:14" x14ac:dyDescent="0.2">
      <c r="I10" s="39"/>
      <c r="K10" s="28">
        <v>10000</v>
      </c>
      <c r="L10" s="28">
        <f>J10*5*K10</f>
        <v>0</v>
      </c>
      <c r="M10" s="40"/>
      <c r="N10" s="42"/>
    </row>
    <row r="12" spans="1:14" x14ac:dyDescent="0.2">
      <c r="I12" s="39" t="s">
        <v>30</v>
      </c>
      <c r="J12">
        <v>6</v>
      </c>
      <c r="K12" s="28">
        <v>10000</v>
      </c>
      <c r="L12" s="28">
        <f>J12*5*K12</f>
        <v>300000</v>
      </c>
      <c r="M12" s="40">
        <f>AVERAGE(L12:L13)</f>
        <v>350000</v>
      </c>
      <c r="N12" s="41">
        <f>LOG10(M12)</f>
        <v>5.5440680443502757</v>
      </c>
    </row>
    <row r="13" spans="1:14" x14ac:dyDescent="0.2">
      <c r="I13" s="39"/>
      <c r="J13">
        <v>8</v>
      </c>
      <c r="K13" s="28">
        <v>10000</v>
      </c>
      <c r="L13" s="28">
        <f>J13*5*K13</f>
        <v>400000</v>
      </c>
      <c r="M13" s="40"/>
      <c r="N13" s="41"/>
    </row>
    <row r="14" spans="1:14" x14ac:dyDescent="0.2">
      <c r="I14" s="39" t="s">
        <v>31</v>
      </c>
      <c r="J14">
        <v>44</v>
      </c>
      <c r="K14" s="28">
        <v>1000000</v>
      </c>
      <c r="L14" s="28">
        <f>J14*5*K14</f>
        <v>220000000</v>
      </c>
      <c r="M14" s="40">
        <f>AVERAGE(L14:L15)</f>
        <v>110000000</v>
      </c>
      <c r="N14" s="43">
        <f>LOG10(M14)</f>
        <v>8.0413926851582254</v>
      </c>
    </row>
    <row r="15" spans="1:14" x14ac:dyDescent="0.2">
      <c r="I15" s="39"/>
      <c r="K15" s="28">
        <v>10000</v>
      </c>
      <c r="L15" s="28">
        <f>J15*5*K15</f>
        <v>0</v>
      </c>
      <c r="M15" s="40"/>
      <c r="N15" s="43"/>
    </row>
  </sheetData>
  <mergeCells count="18">
    <mergeCell ref="I12:I13"/>
    <mergeCell ref="M12:M13"/>
    <mergeCell ref="N12:N13"/>
    <mergeCell ref="I14:I15"/>
    <mergeCell ref="M14:M15"/>
    <mergeCell ref="N14:N15"/>
    <mergeCell ref="I7:I8"/>
    <mergeCell ref="M7:M8"/>
    <mergeCell ref="N7:N8"/>
    <mergeCell ref="I9:I10"/>
    <mergeCell ref="M9:M10"/>
    <mergeCell ref="N9:N10"/>
    <mergeCell ref="I2:I3"/>
    <mergeCell ref="M2:M3"/>
    <mergeCell ref="N2:N3"/>
    <mergeCell ref="I4:I5"/>
    <mergeCell ref="M4:M5"/>
    <mergeCell ref="N4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abSelected="1" topLeftCell="F48" zoomScale="116" zoomScaleNormal="100" workbookViewId="0">
      <selection activeCell="G10" sqref="G10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32</v>
      </c>
      <c r="B1" s="39" t="s">
        <v>0</v>
      </c>
      <c r="C1" s="39"/>
      <c r="D1" s="26" t="s">
        <v>1</v>
      </c>
      <c r="E1" s="26" t="s">
        <v>4</v>
      </c>
      <c r="F1" s="26" t="s">
        <v>2</v>
      </c>
      <c r="G1" s="21" t="s">
        <v>3</v>
      </c>
      <c r="H1" s="21"/>
    </row>
    <row r="2" spans="1:22" x14ac:dyDescent="0.2">
      <c r="A2" s="16" t="s">
        <v>17</v>
      </c>
      <c r="B2">
        <v>59</v>
      </c>
      <c r="C2">
        <v>65</v>
      </c>
      <c r="D2">
        <f>AVERAGE(B2:C2)</f>
        <v>62</v>
      </c>
      <c r="E2" s="4">
        <v>1000</v>
      </c>
      <c r="F2" s="4">
        <f>1846.4-1792.7</f>
        <v>53.700000000000045</v>
      </c>
      <c r="G2" s="22">
        <f>LOG10(D2*100*E2/F2*1000)</f>
        <v>8.0624174037986975</v>
      </c>
      <c r="H2" s="23"/>
      <c r="R2">
        <v>0.8</v>
      </c>
      <c r="S2">
        <f>R2+0.1</f>
        <v>0.9</v>
      </c>
      <c r="T2">
        <f t="shared" ref="T2:V2" si="0">S2+0.1</f>
        <v>1</v>
      </c>
      <c r="U2">
        <f t="shared" si="0"/>
        <v>1.1000000000000001</v>
      </c>
      <c r="V2">
        <f t="shared" si="0"/>
        <v>1.2000000000000002</v>
      </c>
    </row>
    <row r="3" spans="1:22" x14ac:dyDescent="0.2">
      <c r="A3" s="16" t="s">
        <v>18</v>
      </c>
      <c r="B3" s="17">
        <v>19</v>
      </c>
      <c r="C3" s="17">
        <v>19</v>
      </c>
      <c r="D3" s="17">
        <f t="shared" ref="D3:D16" si="1">AVERAGE(B3:C3)</f>
        <v>19</v>
      </c>
      <c r="E3" s="16">
        <v>1000</v>
      </c>
      <c r="F3" s="16">
        <f>1669.7-1653.3</f>
        <v>16.400000000000091</v>
      </c>
      <c r="G3" s="22">
        <f>LOG10(D3*100*E3/F3*1000)</f>
        <v>8.0639097529051291</v>
      </c>
      <c r="H3" s="23"/>
      <c r="R3">
        <f>R2+1</f>
        <v>1.8</v>
      </c>
      <c r="S3">
        <f t="shared" ref="S3:V9" si="2">R3+0.1</f>
        <v>1.9000000000000001</v>
      </c>
      <c r="T3">
        <f t="shared" si="2"/>
        <v>2</v>
      </c>
      <c r="U3">
        <f t="shared" si="2"/>
        <v>2.1</v>
      </c>
      <c r="V3">
        <f t="shared" si="2"/>
        <v>2.2000000000000002</v>
      </c>
    </row>
    <row r="4" spans="1:22" x14ac:dyDescent="0.2">
      <c r="A4" s="16" t="s">
        <v>19</v>
      </c>
      <c r="B4" s="17">
        <v>4</v>
      </c>
      <c r="C4" s="17">
        <v>12</v>
      </c>
      <c r="D4" s="17">
        <f t="shared" si="1"/>
        <v>8</v>
      </c>
      <c r="E4" s="16">
        <v>1000</v>
      </c>
      <c r="F4" s="16">
        <f>1682.4-1652.5</f>
        <v>29.900000000000091</v>
      </c>
      <c r="G4" s="22">
        <f t="shared" ref="G4:G16" si="3">LOG10(D4*100*E4/F4*1000)</f>
        <v>7.4274187986675129</v>
      </c>
      <c r="H4" s="23"/>
      <c r="R4">
        <f t="shared" ref="R4:R8" si="4">R3+1</f>
        <v>2.8</v>
      </c>
      <c r="S4">
        <f t="shared" si="2"/>
        <v>2.9</v>
      </c>
      <c r="T4">
        <f t="shared" ref="T4:T16" si="5">S4+0.1</f>
        <v>3</v>
      </c>
      <c r="U4">
        <f t="shared" ref="U4:U16" si="6">T4+0.1</f>
        <v>3.1</v>
      </c>
      <c r="V4">
        <f t="shared" ref="V4:V16" si="7">U4+0.1</f>
        <v>3.2</v>
      </c>
    </row>
    <row r="5" spans="1:22" x14ac:dyDescent="0.2">
      <c r="A5" s="16" t="s">
        <v>23</v>
      </c>
      <c r="B5" s="17">
        <v>36</v>
      </c>
      <c r="C5" s="17">
        <v>31</v>
      </c>
      <c r="D5" s="17">
        <f t="shared" si="1"/>
        <v>33.5</v>
      </c>
      <c r="E5" s="16">
        <v>1000</v>
      </c>
      <c r="F5" s="16">
        <f>1767.4-1661.3</f>
        <v>106.10000000000014</v>
      </c>
      <c r="G5" s="22">
        <f t="shared" si="3"/>
        <v>7.4993294231355039</v>
      </c>
      <c r="H5" s="23"/>
      <c r="R5">
        <f t="shared" si="4"/>
        <v>3.8</v>
      </c>
      <c r="S5">
        <f t="shared" si="2"/>
        <v>3.9</v>
      </c>
      <c r="T5">
        <f t="shared" si="5"/>
        <v>4</v>
      </c>
      <c r="U5">
        <f t="shared" si="6"/>
        <v>4.0999999999999996</v>
      </c>
      <c r="V5">
        <f t="shared" si="7"/>
        <v>4.1999999999999993</v>
      </c>
    </row>
    <row r="6" spans="1:22" ht="20" customHeight="1" x14ac:dyDescent="0.2">
      <c r="A6" s="27" t="s">
        <v>21</v>
      </c>
      <c r="B6" s="18">
        <v>3</v>
      </c>
      <c r="C6" s="18">
        <v>2</v>
      </c>
      <c r="D6" s="17">
        <f t="shared" si="1"/>
        <v>2.5</v>
      </c>
      <c r="E6" s="27">
        <v>10000</v>
      </c>
      <c r="F6" s="27">
        <f>1864-1767.7</f>
        <v>96.299999999999955</v>
      </c>
      <c r="G6" s="22">
        <f t="shared" si="3"/>
        <v>7.4143137215475035</v>
      </c>
      <c r="H6" s="23"/>
      <c r="R6">
        <f t="shared" si="4"/>
        <v>4.8</v>
      </c>
      <c r="S6">
        <f t="shared" si="2"/>
        <v>4.8999999999999995</v>
      </c>
      <c r="T6">
        <f t="shared" si="5"/>
        <v>4.9999999999999991</v>
      </c>
      <c r="U6">
        <f t="shared" si="6"/>
        <v>5.0999999999999988</v>
      </c>
      <c r="V6">
        <f t="shared" si="7"/>
        <v>5.1999999999999984</v>
      </c>
    </row>
    <row r="7" spans="1:22" x14ac:dyDescent="0.2">
      <c r="A7" s="16" t="s">
        <v>16</v>
      </c>
      <c r="B7" s="17">
        <v>14</v>
      </c>
      <c r="C7" s="17">
        <v>11</v>
      </c>
      <c r="D7" s="17">
        <f t="shared" si="1"/>
        <v>12.5</v>
      </c>
      <c r="E7" s="16">
        <v>10000</v>
      </c>
      <c r="F7" s="16">
        <f>1761.6-1699.3</f>
        <v>62.299999999999955</v>
      </c>
      <c r="G7" s="22">
        <f t="shared" si="3"/>
        <v>8.3024219663488878</v>
      </c>
      <c r="H7" s="23"/>
      <c r="R7">
        <f t="shared" si="4"/>
        <v>5.8</v>
      </c>
      <c r="S7">
        <f t="shared" si="2"/>
        <v>5.8999999999999995</v>
      </c>
      <c r="T7">
        <f t="shared" si="5"/>
        <v>5.9999999999999991</v>
      </c>
      <c r="U7">
        <f t="shared" si="6"/>
        <v>6.0999999999999988</v>
      </c>
      <c r="V7">
        <f t="shared" si="7"/>
        <v>6.1999999999999984</v>
      </c>
    </row>
    <row r="8" spans="1:22" x14ac:dyDescent="0.2">
      <c r="A8" s="16" t="s">
        <v>14</v>
      </c>
      <c r="B8" s="17">
        <v>8</v>
      </c>
      <c r="C8" s="17">
        <v>6</v>
      </c>
      <c r="D8" s="17">
        <f t="shared" si="1"/>
        <v>7</v>
      </c>
      <c r="E8" s="16">
        <v>10000</v>
      </c>
      <c r="F8" s="16">
        <f>1837.8-1743</f>
        <v>94.799999999999955</v>
      </c>
      <c r="G8" s="22">
        <f t="shared" si="3"/>
        <v>7.8682897026761909</v>
      </c>
      <c r="H8" s="23"/>
      <c r="R8">
        <f t="shared" si="4"/>
        <v>6.8</v>
      </c>
      <c r="S8">
        <f t="shared" si="2"/>
        <v>6.8999999999999995</v>
      </c>
      <c r="T8">
        <f t="shared" si="5"/>
        <v>6.9999999999999991</v>
      </c>
      <c r="U8">
        <f t="shared" si="6"/>
        <v>7.0999999999999988</v>
      </c>
      <c r="V8">
        <f t="shared" si="7"/>
        <v>7.1999999999999984</v>
      </c>
    </row>
    <row r="9" spans="1:22" x14ac:dyDescent="0.2">
      <c r="A9" s="16" t="s">
        <v>53</v>
      </c>
      <c r="B9" s="17">
        <v>60</v>
      </c>
      <c r="C9" s="17">
        <v>60</v>
      </c>
      <c r="D9" s="17">
        <f t="shared" si="1"/>
        <v>60</v>
      </c>
      <c r="E9" s="16">
        <v>100</v>
      </c>
      <c r="F9" s="16">
        <f>1765.6-1657.2</f>
        <v>108.39999999999986</v>
      </c>
      <c r="G9" s="22">
        <f t="shared" si="3"/>
        <v>6.743121968181276</v>
      </c>
      <c r="H9" s="23"/>
      <c r="R9">
        <v>9.8000000000000007</v>
      </c>
      <c r="S9">
        <f t="shared" si="2"/>
        <v>9.9</v>
      </c>
      <c r="T9">
        <f t="shared" si="5"/>
        <v>10</v>
      </c>
      <c r="U9">
        <f t="shared" si="6"/>
        <v>10.1</v>
      </c>
      <c r="V9">
        <f t="shared" si="7"/>
        <v>10.199999999999999</v>
      </c>
    </row>
    <row r="10" spans="1:22" x14ac:dyDescent="0.2">
      <c r="A10" s="16" t="s">
        <v>54</v>
      </c>
      <c r="B10" s="17">
        <v>14</v>
      </c>
      <c r="C10" s="17">
        <v>8</v>
      </c>
      <c r="D10" s="17">
        <f t="shared" si="1"/>
        <v>11</v>
      </c>
      <c r="E10" s="16">
        <v>100</v>
      </c>
      <c r="F10" s="4">
        <f>1827.3-1714.2</f>
        <v>113.09999999999991</v>
      </c>
      <c r="G10" s="22">
        <f t="shared" si="3"/>
        <v>5.9879300802327702</v>
      </c>
      <c r="H10" s="23"/>
      <c r="R10">
        <v>11.8</v>
      </c>
      <c r="S10">
        <f t="shared" ref="S10:S16" si="8">R10+0.1</f>
        <v>11.9</v>
      </c>
      <c r="T10">
        <f t="shared" si="5"/>
        <v>12</v>
      </c>
      <c r="U10">
        <f t="shared" si="6"/>
        <v>12.1</v>
      </c>
      <c r="V10">
        <f t="shared" si="7"/>
        <v>12.2</v>
      </c>
    </row>
    <row r="11" spans="1:22" x14ac:dyDescent="0.2">
      <c r="A11" s="16" t="s">
        <v>55</v>
      </c>
      <c r="B11" s="17">
        <v>14</v>
      </c>
      <c r="C11" s="17">
        <v>14</v>
      </c>
      <c r="D11" s="17">
        <f t="shared" si="1"/>
        <v>14</v>
      </c>
      <c r="E11" s="16">
        <v>100</v>
      </c>
      <c r="F11" s="4">
        <f>1798.4-1676.5</f>
        <v>121.90000000000009</v>
      </c>
      <c r="G11" s="22">
        <f t="shared" si="3"/>
        <v>6.060124330059856</v>
      </c>
      <c r="H11" s="23"/>
      <c r="R11">
        <v>13.8</v>
      </c>
      <c r="S11">
        <f t="shared" si="8"/>
        <v>13.9</v>
      </c>
      <c r="T11">
        <f t="shared" si="5"/>
        <v>14</v>
      </c>
      <c r="U11">
        <f t="shared" si="6"/>
        <v>14.1</v>
      </c>
      <c r="V11">
        <f t="shared" si="7"/>
        <v>14.2</v>
      </c>
    </row>
    <row r="12" spans="1:22" x14ac:dyDescent="0.2">
      <c r="A12" s="16" t="s">
        <v>59</v>
      </c>
      <c r="B12" s="17">
        <v>8</v>
      </c>
      <c r="C12" s="17">
        <v>5</v>
      </c>
      <c r="D12" s="17">
        <f t="shared" si="1"/>
        <v>6.5</v>
      </c>
      <c r="E12" s="16">
        <v>1</v>
      </c>
      <c r="F12" s="4">
        <f>1681.8-1604.5</f>
        <v>77.299999999999955</v>
      </c>
      <c r="G12" s="22">
        <f t="shared" si="3"/>
        <v>3.9247338627245312</v>
      </c>
      <c r="H12" s="23"/>
      <c r="R12">
        <v>16.8</v>
      </c>
      <c r="S12">
        <f t="shared" si="8"/>
        <v>16.900000000000002</v>
      </c>
      <c r="T12">
        <f t="shared" si="5"/>
        <v>17.000000000000004</v>
      </c>
      <c r="U12">
        <f t="shared" si="6"/>
        <v>17.100000000000005</v>
      </c>
      <c r="V12">
        <f t="shared" si="7"/>
        <v>17.200000000000006</v>
      </c>
    </row>
    <row r="13" spans="1:22" x14ac:dyDescent="0.2">
      <c r="A13" s="16" t="s">
        <v>60</v>
      </c>
      <c r="B13" s="17">
        <v>7</v>
      </c>
      <c r="C13" s="17">
        <v>5</v>
      </c>
      <c r="D13" s="17">
        <f t="shared" si="1"/>
        <v>6</v>
      </c>
      <c r="E13" s="16">
        <v>1</v>
      </c>
      <c r="F13" s="4">
        <f>1861-1709.7</f>
        <v>151.29999999999995</v>
      </c>
      <c r="G13" s="22">
        <f t="shared" si="3"/>
        <v>3.5983123223604569</v>
      </c>
      <c r="H13" s="23"/>
      <c r="R13">
        <v>20.8</v>
      </c>
      <c r="S13">
        <f t="shared" si="8"/>
        <v>20.900000000000002</v>
      </c>
      <c r="T13">
        <f t="shared" si="5"/>
        <v>21.000000000000004</v>
      </c>
      <c r="U13">
        <f t="shared" si="6"/>
        <v>21.100000000000005</v>
      </c>
      <c r="V13">
        <f t="shared" si="7"/>
        <v>21.200000000000006</v>
      </c>
    </row>
    <row r="14" spans="1:22" x14ac:dyDescent="0.2">
      <c r="A14" s="16" t="s">
        <v>61</v>
      </c>
      <c r="B14" s="17">
        <v>6</v>
      </c>
      <c r="C14" s="17">
        <v>1</v>
      </c>
      <c r="D14" s="17">
        <f t="shared" si="1"/>
        <v>3.5</v>
      </c>
      <c r="E14" s="16">
        <v>1</v>
      </c>
      <c r="F14" s="4">
        <f>1890-1769.4</f>
        <v>120.59999999999991</v>
      </c>
      <c r="G14" s="22">
        <f t="shared" si="3"/>
        <v>3.4627207365461437</v>
      </c>
      <c r="H14" s="23"/>
      <c r="R14">
        <v>23.8</v>
      </c>
      <c r="S14">
        <f t="shared" si="8"/>
        <v>23.900000000000002</v>
      </c>
      <c r="T14">
        <f t="shared" si="5"/>
        <v>24.000000000000004</v>
      </c>
      <c r="U14">
        <f t="shared" si="6"/>
        <v>24.100000000000005</v>
      </c>
      <c r="V14">
        <f t="shared" si="7"/>
        <v>24.200000000000006</v>
      </c>
    </row>
    <row r="15" spans="1:22" x14ac:dyDescent="0.2">
      <c r="A15" s="16" t="s">
        <v>63</v>
      </c>
      <c r="B15" s="17">
        <v>1</v>
      </c>
      <c r="C15" s="17">
        <v>2</v>
      </c>
      <c r="D15" s="17">
        <f t="shared" si="1"/>
        <v>1.5</v>
      </c>
      <c r="E15" s="16">
        <v>1</v>
      </c>
      <c r="F15" s="4">
        <f>1843.6-1683.2</f>
        <v>160.39999999999986</v>
      </c>
      <c r="G15" s="22">
        <f t="shared" si="3"/>
        <v>2.9708868951075371</v>
      </c>
      <c r="H15" s="23"/>
      <c r="R15">
        <v>25.8</v>
      </c>
      <c r="S15">
        <f t="shared" si="8"/>
        <v>25.900000000000002</v>
      </c>
      <c r="T15">
        <f t="shared" si="5"/>
        <v>26.000000000000004</v>
      </c>
      <c r="U15">
        <f t="shared" si="6"/>
        <v>26.100000000000005</v>
      </c>
      <c r="V15">
        <f t="shared" si="7"/>
        <v>26.200000000000006</v>
      </c>
    </row>
    <row r="16" spans="1:22" ht="17" x14ac:dyDescent="0.2">
      <c r="A16" s="27" t="s">
        <v>64</v>
      </c>
      <c r="B16" s="19">
        <v>1</v>
      </c>
      <c r="C16" s="19">
        <v>0</v>
      </c>
      <c r="D16" s="26">
        <f t="shared" si="1"/>
        <v>0.5</v>
      </c>
      <c r="E16" s="26">
        <v>1</v>
      </c>
      <c r="F16" s="26">
        <f>1765.5-1673.3</f>
        <v>92.200000000000045</v>
      </c>
      <c r="G16" s="22">
        <f t="shared" si="3"/>
        <v>2.7342390832823891</v>
      </c>
      <c r="H16" s="23"/>
      <c r="R16">
        <v>27.8</v>
      </c>
      <c r="S16">
        <f t="shared" si="8"/>
        <v>27.900000000000002</v>
      </c>
      <c r="T16">
        <f t="shared" si="5"/>
        <v>28.000000000000004</v>
      </c>
      <c r="U16">
        <f t="shared" si="6"/>
        <v>28.100000000000005</v>
      </c>
      <c r="V16">
        <f t="shared" si="7"/>
        <v>28.200000000000006</v>
      </c>
    </row>
    <row r="17" spans="1:8" ht="51" x14ac:dyDescent="0.2">
      <c r="A17" s="2" t="s">
        <v>33</v>
      </c>
      <c r="B17" s="39" t="s">
        <v>0</v>
      </c>
      <c r="C17" s="39"/>
      <c r="D17" s="26" t="s">
        <v>1</v>
      </c>
      <c r="E17" s="26" t="s">
        <v>4</v>
      </c>
      <c r="F17" s="26" t="s">
        <v>2</v>
      </c>
      <c r="G17" s="21" t="s">
        <v>3</v>
      </c>
      <c r="H17" s="23"/>
    </row>
    <row r="18" spans="1:8" x14ac:dyDescent="0.2">
      <c r="A18" s="16" t="s">
        <v>17</v>
      </c>
      <c r="B18">
        <v>24</v>
      </c>
      <c r="C18">
        <v>28</v>
      </c>
      <c r="D18">
        <f>AVERAGE(B18:C18)</f>
        <v>26</v>
      </c>
      <c r="E18" s="4">
        <v>10</v>
      </c>
      <c r="F18" s="4">
        <f>1729.6-1672.4</f>
        <v>57.199999999999818</v>
      </c>
      <c r="G18" s="22">
        <f>LOG10(D18*100*E18/F18*1000)</f>
        <v>5.6575773191777952</v>
      </c>
      <c r="H18" s="23"/>
    </row>
    <row r="19" spans="1:8" x14ac:dyDescent="0.2">
      <c r="A19" s="16" t="s">
        <v>18</v>
      </c>
      <c r="B19" s="17">
        <v>5</v>
      </c>
      <c r="C19" s="17">
        <v>6</v>
      </c>
      <c r="D19" s="17">
        <f t="shared" ref="D19:D32" si="9">AVERAGE(B19:C19)</f>
        <v>5.5</v>
      </c>
      <c r="E19" s="16">
        <v>1000</v>
      </c>
      <c r="F19" s="16">
        <f>1869.6-1810.4</f>
        <v>59.199999999999818</v>
      </c>
      <c r="G19" s="22">
        <f>LOG10(D19*100*E19/F19*1000)</f>
        <v>6.968040982771325</v>
      </c>
      <c r="H19" s="23"/>
    </row>
    <row r="20" spans="1:8" x14ac:dyDescent="0.2">
      <c r="A20" s="16" t="s">
        <v>22</v>
      </c>
      <c r="B20" s="17">
        <v>10</v>
      </c>
      <c r="C20" s="17">
        <v>9</v>
      </c>
      <c r="D20" s="17">
        <f t="shared" si="9"/>
        <v>9.5</v>
      </c>
      <c r="E20" s="16">
        <v>1000</v>
      </c>
      <c r="F20" s="16">
        <f>1675.1-1647.7</f>
        <v>27.399999999999864</v>
      </c>
      <c r="G20" s="22">
        <f t="shared" ref="G20:G32" si="10">LOG10(D20*100*E20/F20*1000)</f>
        <v>7.5399730424684615</v>
      </c>
      <c r="H20" s="23"/>
    </row>
    <row r="21" spans="1:8" x14ac:dyDescent="0.2">
      <c r="A21" s="16" t="s">
        <v>23</v>
      </c>
      <c r="B21" s="17">
        <v>48</v>
      </c>
      <c r="C21" s="17">
        <v>48</v>
      </c>
      <c r="D21" s="17">
        <f t="shared" si="9"/>
        <v>48</v>
      </c>
      <c r="E21" s="16">
        <v>1000</v>
      </c>
      <c r="F21" s="16">
        <f>1780.3-1709.3</f>
        <v>71</v>
      </c>
      <c r="G21" s="22">
        <f t="shared" si="10"/>
        <v>7.8299828886565122</v>
      </c>
      <c r="H21" s="23"/>
    </row>
    <row r="22" spans="1:8" ht="17" x14ac:dyDescent="0.2">
      <c r="A22" s="27" t="s">
        <v>21</v>
      </c>
      <c r="B22" s="18">
        <v>63</v>
      </c>
      <c r="C22" s="18">
        <v>60</v>
      </c>
      <c r="D22" s="17">
        <f t="shared" si="9"/>
        <v>61.5</v>
      </c>
      <c r="E22" s="27">
        <v>1000</v>
      </c>
      <c r="F22" s="27">
        <f>1798.4-1732.7</f>
        <v>65.700000000000045</v>
      </c>
      <c r="G22" s="22">
        <f t="shared" si="10"/>
        <v>7.9713097462156357</v>
      </c>
      <c r="H22" s="23"/>
    </row>
    <row r="23" spans="1:8" x14ac:dyDescent="0.2">
      <c r="A23" s="16" t="s">
        <v>16</v>
      </c>
      <c r="B23" s="17">
        <v>16</v>
      </c>
      <c r="C23" s="17">
        <v>20</v>
      </c>
      <c r="D23" s="17">
        <f t="shared" si="9"/>
        <v>18</v>
      </c>
      <c r="E23" s="16">
        <v>10000</v>
      </c>
      <c r="F23" s="16">
        <f>1914.5-1813.7</f>
        <v>100.79999999999995</v>
      </c>
      <c r="G23" s="22">
        <f t="shared" si="10"/>
        <v>8.2518119729937993</v>
      </c>
      <c r="H23" s="23"/>
    </row>
    <row r="24" spans="1:8" ht="16" customHeight="1" x14ac:dyDescent="0.2">
      <c r="A24" s="16" t="s">
        <v>14</v>
      </c>
      <c r="B24" s="17">
        <v>45</v>
      </c>
      <c r="C24" s="17">
        <v>44</v>
      </c>
      <c r="D24" s="17">
        <f t="shared" si="9"/>
        <v>44.5</v>
      </c>
      <c r="E24" s="16">
        <v>10000</v>
      </c>
      <c r="F24" s="16">
        <f>1742.8-1695.3</f>
        <v>47.5</v>
      </c>
      <c r="G24" s="22">
        <f t="shared" si="10"/>
        <v>8.9716664013560656</v>
      </c>
      <c r="H24" s="23"/>
    </row>
    <row r="25" spans="1:8" ht="16" customHeight="1" x14ac:dyDescent="0.2">
      <c r="A25" s="16" t="s">
        <v>53</v>
      </c>
      <c r="B25" s="17">
        <v>11</v>
      </c>
      <c r="C25" s="17">
        <v>13</v>
      </c>
      <c r="D25" s="17">
        <f t="shared" si="9"/>
        <v>12</v>
      </c>
      <c r="E25" s="16">
        <v>100</v>
      </c>
      <c r="F25" s="16">
        <f>1689.5-1644.6</f>
        <v>44.900000000000091</v>
      </c>
      <c r="G25" s="22">
        <f t="shared" si="10"/>
        <v>6.426934905044301</v>
      </c>
      <c r="H25" s="23"/>
    </row>
    <row r="26" spans="1:8" x14ac:dyDescent="0.2">
      <c r="A26" s="16" t="s">
        <v>54</v>
      </c>
      <c r="B26" s="17">
        <v>21</v>
      </c>
      <c r="C26" s="19">
        <v>18</v>
      </c>
      <c r="D26" s="17">
        <f t="shared" si="9"/>
        <v>19.5</v>
      </c>
      <c r="E26" s="26">
        <v>10</v>
      </c>
      <c r="F26" s="26">
        <f>1801.7-1762.5</f>
        <v>39.200000000000045</v>
      </c>
      <c r="G26" s="22">
        <f t="shared" si="10"/>
        <v>5.6967485443420607</v>
      </c>
      <c r="H26" s="23"/>
    </row>
    <row r="27" spans="1:8" x14ac:dyDescent="0.2">
      <c r="A27" s="16" t="s">
        <v>55</v>
      </c>
      <c r="B27" s="17">
        <v>1</v>
      </c>
      <c r="C27" s="17">
        <v>1</v>
      </c>
      <c r="D27" s="17">
        <f t="shared" si="9"/>
        <v>1</v>
      </c>
      <c r="E27" s="4">
        <v>1</v>
      </c>
      <c r="F27" s="4">
        <f>1770.6-1738</f>
        <v>32.599999999999909</v>
      </c>
      <c r="G27" s="22">
        <f t="shared" si="10"/>
        <v>3.486782399932062</v>
      </c>
      <c r="H27" s="23"/>
    </row>
    <row r="28" spans="1:8" x14ac:dyDescent="0.2">
      <c r="A28" s="16" t="s">
        <v>59</v>
      </c>
      <c r="B28" s="17">
        <v>0</v>
      </c>
      <c r="C28" s="17">
        <v>0</v>
      </c>
      <c r="D28" s="17">
        <f>AVERAGE(B28:C28)</f>
        <v>0</v>
      </c>
      <c r="E28" s="16">
        <v>1</v>
      </c>
      <c r="F28" s="4">
        <f>1800.8-1727.7</f>
        <v>73.099999999999909</v>
      </c>
      <c r="G28" s="22" t="e">
        <f t="shared" si="10"/>
        <v>#NUM!</v>
      </c>
      <c r="H28" s="23"/>
    </row>
    <row r="29" spans="1:8" x14ac:dyDescent="0.2">
      <c r="A29" s="16" t="s">
        <v>60</v>
      </c>
      <c r="B29" s="17">
        <v>0</v>
      </c>
      <c r="C29" s="17">
        <v>0</v>
      </c>
      <c r="D29" s="17">
        <f t="shared" si="9"/>
        <v>0</v>
      </c>
      <c r="E29" s="16">
        <v>1</v>
      </c>
      <c r="F29" s="4">
        <f>1779.2-1618.6</f>
        <v>160.60000000000014</v>
      </c>
      <c r="G29" s="22" t="e">
        <f>LOG10(D29*100*E29/F29*1000)</f>
        <v>#NUM!</v>
      </c>
      <c r="H29" s="23"/>
    </row>
    <row r="30" spans="1:8" x14ac:dyDescent="0.2">
      <c r="A30" s="16" t="s">
        <v>61</v>
      </c>
      <c r="B30" s="17">
        <v>0</v>
      </c>
      <c r="C30" s="17">
        <v>0</v>
      </c>
      <c r="D30" s="17">
        <f t="shared" si="9"/>
        <v>0</v>
      </c>
      <c r="E30" s="16">
        <v>1</v>
      </c>
      <c r="F30" s="4">
        <f>1736.2-1666.7</f>
        <v>69.5</v>
      </c>
      <c r="G30" s="22" t="e">
        <f t="shared" si="10"/>
        <v>#NUM!</v>
      </c>
      <c r="H30" s="23"/>
    </row>
    <row r="31" spans="1:8" x14ac:dyDescent="0.2">
      <c r="A31" s="16" t="s">
        <v>63</v>
      </c>
      <c r="B31" s="17">
        <v>0</v>
      </c>
      <c r="C31" s="17">
        <v>0</v>
      </c>
      <c r="D31" s="17">
        <f t="shared" si="9"/>
        <v>0</v>
      </c>
      <c r="E31" s="4">
        <v>1</v>
      </c>
      <c r="F31" s="4">
        <f>1747.4-1676.7</f>
        <v>70.700000000000045</v>
      </c>
      <c r="G31" s="22" t="e">
        <f t="shared" si="10"/>
        <v>#NUM!</v>
      </c>
      <c r="H31" s="23"/>
    </row>
    <row r="32" spans="1:8" x14ac:dyDescent="0.2">
      <c r="A32" s="16" t="s">
        <v>64</v>
      </c>
      <c r="B32" s="17">
        <v>1</v>
      </c>
      <c r="C32" s="17">
        <v>5</v>
      </c>
      <c r="D32" s="17">
        <f t="shared" si="9"/>
        <v>3</v>
      </c>
      <c r="E32" s="4">
        <v>1</v>
      </c>
      <c r="F32" s="4">
        <f>1883.7-1721.6</f>
        <v>162.10000000000014</v>
      </c>
      <c r="G32" s="22">
        <f t="shared" si="10"/>
        <v>3.267338239871147</v>
      </c>
      <c r="H32" s="23"/>
    </row>
    <row r="33" spans="1:8" ht="51" x14ac:dyDescent="0.2">
      <c r="A33" s="30" t="s">
        <v>34</v>
      </c>
      <c r="B33" s="39" t="s">
        <v>0</v>
      </c>
      <c r="C33" s="39"/>
      <c r="D33" s="26" t="s">
        <v>1</v>
      </c>
      <c r="E33" s="26" t="s">
        <v>4</v>
      </c>
      <c r="F33" s="26" t="s">
        <v>2</v>
      </c>
      <c r="G33" s="21" t="s">
        <v>3</v>
      </c>
      <c r="H33" s="21"/>
    </row>
    <row r="34" spans="1:8" x14ac:dyDescent="0.2">
      <c r="A34" s="16" t="s">
        <v>17</v>
      </c>
      <c r="B34">
        <v>0</v>
      </c>
      <c r="C34">
        <v>0</v>
      </c>
      <c r="D34">
        <f>AVERAGE(B34:C34)</f>
        <v>0</v>
      </c>
      <c r="E34" s="4">
        <v>1</v>
      </c>
      <c r="F34" s="4">
        <f>1763.1-1729.1</f>
        <v>34</v>
      </c>
      <c r="G34" s="22" t="e">
        <f>LOG10(D34*100*E34/F34*1000)</f>
        <v>#NUM!</v>
      </c>
      <c r="H34" s="23"/>
    </row>
    <row r="35" spans="1:8" x14ac:dyDescent="0.2">
      <c r="A35" s="16" t="s">
        <v>18</v>
      </c>
      <c r="B35" s="17">
        <v>0</v>
      </c>
      <c r="C35" s="17">
        <v>0</v>
      </c>
      <c r="D35" s="17">
        <f t="shared" ref="D35:D48" si="11">AVERAGE(B35:C35)</f>
        <v>0</v>
      </c>
      <c r="E35" s="16">
        <v>1</v>
      </c>
      <c r="F35" s="16">
        <f>1843.1-1789.9</f>
        <v>53.199999999999818</v>
      </c>
      <c r="G35" s="22" t="e">
        <f t="shared" ref="G35:G42" si="12">LOG10(D35*100*E35/F35*1000)</f>
        <v>#NUM!</v>
      </c>
      <c r="H35" s="23"/>
    </row>
    <row r="36" spans="1:8" x14ac:dyDescent="0.2">
      <c r="A36" s="16" t="s">
        <v>19</v>
      </c>
      <c r="B36" s="17">
        <v>0</v>
      </c>
      <c r="C36" s="17">
        <v>0</v>
      </c>
      <c r="D36" s="17">
        <f t="shared" si="11"/>
        <v>0</v>
      </c>
      <c r="E36" s="16">
        <v>1</v>
      </c>
      <c r="F36" s="16">
        <f>1715.5-1703.3</f>
        <v>12.200000000000045</v>
      </c>
      <c r="G36" s="22" t="e">
        <f t="shared" si="12"/>
        <v>#NUM!</v>
      </c>
      <c r="H36" s="23"/>
    </row>
    <row r="37" spans="1:8" x14ac:dyDescent="0.2">
      <c r="A37" s="16" t="s">
        <v>20</v>
      </c>
      <c r="B37" s="17">
        <v>7</v>
      </c>
      <c r="C37" s="17">
        <v>8</v>
      </c>
      <c r="D37" s="17">
        <f t="shared" si="11"/>
        <v>7.5</v>
      </c>
      <c r="E37" s="16">
        <v>10</v>
      </c>
      <c r="F37" s="16">
        <f>1764.8-1737.8</f>
        <v>27</v>
      </c>
      <c r="G37" s="22">
        <f t="shared" si="12"/>
        <v>5.4436974992327123</v>
      </c>
      <c r="H37" s="23"/>
    </row>
    <row r="38" spans="1:8" ht="17" x14ac:dyDescent="0.2">
      <c r="A38" s="27" t="s">
        <v>21</v>
      </c>
      <c r="B38" s="18">
        <v>5</v>
      </c>
      <c r="C38" s="18">
        <v>4</v>
      </c>
      <c r="D38" s="17">
        <f t="shared" si="11"/>
        <v>4.5</v>
      </c>
      <c r="E38" s="27">
        <v>100</v>
      </c>
      <c r="F38" s="27">
        <f>1728.5-1704.7</f>
        <v>23.799999999999955</v>
      </c>
      <c r="G38" s="22">
        <f t="shared" si="12"/>
        <v>6.2766355567188326</v>
      </c>
      <c r="H38" s="23"/>
    </row>
    <row r="39" spans="1:8" x14ac:dyDescent="0.2">
      <c r="A39" s="16" t="s">
        <v>16</v>
      </c>
      <c r="B39" s="17">
        <v>17</v>
      </c>
      <c r="C39" s="17">
        <v>13</v>
      </c>
      <c r="D39" s="17">
        <f t="shared" si="11"/>
        <v>15</v>
      </c>
      <c r="E39" s="16">
        <v>100</v>
      </c>
      <c r="F39" s="16">
        <f>1772.3-1700.5</f>
        <v>71.799999999999955</v>
      </c>
      <c r="G39" s="22">
        <f t="shared" si="12"/>
        <v>6.3199668148133812</v>
      </c>
      <c r="H39" s="23"/>
    </row>
    <row r="40" spans="1:8" x14ac:dyDescent="0.2">
      <c r="A40" s="16" t="s">
        <v>14</v>
      </c>
      <c r="B40" s="17">
        <v>45</v>
      </c>
      <c r="C40" s="17">
        <v>33</v>
      </c>
      <c r="D40" s="17">
        <f t="shared" si="11"/>
        <v>39</v>
      </c>
      <c r="E40" s="16">
        <v>100</v>
      </c>
      <c r="F40" s="16">
        <f>1808.7-1664</f>
        <v>144.70000000000005</v>
      </c>
      <c r="G40" s="22">
        <f t="shared" si="12"/>
        <v>6.4305960759074612</v>
      </c>
      <c r="H40" s="23"/>
    </row>
    <row r="41" spans="1:8" x14ac:dyDescent="0.2">
      <c r="A41" s="16" t="s">
        <v>53</v>
      </c>
      <c r="B41" s="17">
        <v>8</v>
      </c>
      <c r="C41" s="17">
        <v>6</v>
      </c>
      <c r="D41" s="17">
        <f t="shared" si="11"/>
        <v>7</v>
      </c>
      <c r="E41" s="16">
        <v>100</v>
      </c>
      <c r="F41" s="16">
        <f>1778.4-1688.2</f>
        <v>90.200000000000045</v>
      </c>
      <c r="G41" s="22">
        <f t="shared" si="12"/>
        <v>5.8898915024723149</v>
      </c>
      <c r="H41" s="23"/>
    </row>
    <row r="42" spans="1:8" x14ac:dyDescent="0.2">
      <c r="A42" s="16" t="s">
        <v>54</v>
      </c>
      <c r="B42" s="17">
        <v>7</v>
      </c>
      <c r="C42" s="17">
        <v>12</v>
      </c>
      <c r="D42" s="17">
        <f t="shared" si="11"/>
        <v>9.5</v>
      </c>
      <c r="E42" s="16">
        <v>10</v>
      </c>
      <c r="F42" s="4">
        <f>1751.2-1683.6</f>
        <v>67.600000000000136</v>
      </c>
      <c r="G42" s="22">
        <f t="shared" si="12"/>
        <v>5.1477769093472112</v>
      </c>
      <c r="H42" s="23"/>
    </row>
    <row r="43" spans="1:8" x14ac:dyDescent="0.2">
      <c r="A43" s="16" t="s">
        <v>55</v>
      </c>
      <c r="B43" s="17">
        <v>0</v>
      </c>
      <c r="C43" s="17">
        <v>0</v>
      </c>
      <c r="D43" s="17">
        <f t="shared" si="11"/>
        <v>0</v>
      </c>
      <c r="E43" s="4">
        <v>1</v>
      </c>
      <c r="F43" s="4">
        <f>1844.4-1728.9</f>
        <v>115.5</v>
      </c>
      <c r="G43" s="22" t="e">
        <f>LOG10(D43*100*E43/F43*1000)</f>
        <v>#NUM!</v>
      </c>
      <c r="H43" s="23"/>
    </row>
    <row r="44" spans="1:8" x14ac:dyDescent="0.2">
      <c r="A44" s="31" t="s">
        <v>59</v>
      </c>
      <c r="B44" s="32">
        <v>0</v>
      </c>
      <c r="C44" s="32">
        <v>0</v>
      </c>
      <c r="D44" s="17">
        <f t="shared" si="11"/>
        <v>0</v>
      </c>
      <c r="E44" s="31">
        <v>1</v>
      </c>
      <c r="F44" s="31">
        <f>1760-1740</f>
        <v>20</v>
      </c>
      <c r="G44" s="22" t="e">
        <f t="shared" ref="G44:G48" si="13">LOG10(D44*100*E44/F44*1000)</f>
        <v>#NUM!</v>
      </c>
      <c r="H44" s="23"/>
    </row>
    <row r="45" spans="1:8" x14ac:dyDescent="0.2">
      <c r="A45" s="31" t="s">
        <v>60</v>
      </c>
      <c r="B45" s="32">
        <v>0</v>
      </c>
      <c r="C45" s="32">
        <v>0</v>
      </c>
      <c r="D45" s="17">
        <f t="shared" si="11"/>
        <v>0</v>
      </c>
      <c r="E45" s="31">
        <v>1</v>
      </c>
      <c r="F45" s="31">
        <f>1743.1-1657.6</f>
        <v>85.5</v>
      </c>
      <c r="G45" s="22" t="e">
        <f t="shared" si="13"/>
        <v>#NUM!</v>
      </c>
      <c r="H45" s="23"/>
    </row>
    <row r="46" spans="1:8" x14ac:dyDescent="0.2">
      <c r="A46" s="31" t="s">
        <v>61</v>
      </c>
      <c r="B46" s="32">
        <v>0</v>
      </c>
      <c r="C46" s="32">
        <v>0</v>
      </c>
      <c r="D46" s="17">
        <f t="shared" si="11"/>
        <v>0</v>
      </c>
      <c r="E46" s="31">
        <v>1</v>
      </c>
      <c r="F46" s="31">
        <f>1689.5-1619</f>
        <v>70.5</v>
      </c>
      <c r="G46" s="22" t="e">
        <f t="shared" si="13"/>
        <v>#NUM!</v>
      </c>
      <c r="H46" s="23"/>
    </row>
    <row r="47" spans="1:8" x14ac:dyDescent="0.2">
      <c r="A47" s="16" t="s">
        <v>63</v>
      </c>
      <c r="B47" s="32">
        <v>0</v>
      </c>
      <c r="C47" s="32">
        <v>0</v>
      </c>
      <c r="D47" s="17">
        <f t="shared" si="11"/>
        <v>0</v>
      </c>
      <c r="E47" s="4">
        <v>1</v>
      </c>
      <c r="F47" s="4">
        <f>1836.1-1744.7</f>
        <v>91.399999999999864</v>
      </c>
      <c r="G47" s="22" t="e">
        <f t="shared" si="13"/>
        <v>#NUM!</v>
      </c>
      <c r="H47" s="23"/>
    </row>
    <row r="48" spans="1:8" x14ac:dyDescent="0.2">
      <c r="A48" s="16" t="s">
        <v>64</v>
      </c>
      <c r="B48" s="32">
        <v>0</v>
      </c>
      <c r="C48" s="32">
        <v>0</v>
      </c>
      <c r="D48" s="17">
        <f t="shared" si="11"/>
        <v>0</v>
      </c>
      <c r="E48" s="4">
        <v>1</v>
      </c>
      <c r="F48" s="4">
        <f>1874-1795.2</f>
        <v>78.799999999999955</v>
      </c>
      <c r="G48" s="22" t="e">
        <f t="shared" si="13"/>
        <v>#NUM!</v>
      </c>
      <c r="H48" s="23"/>
    </row>
    <row r="49" spans="1:8" ht="51" x14ac:dyDescent="0.2">
      <c r="A49" s="30" t="s">
        <v>35</v>
      </c>
      <c r="B49" s="39" t="s">
        <v>0</v>
      </c>
      <c r="C49" s="39"/>
      <c r="D49" s="26" t="s">
        <v>1</v>
      </c>
      <c r="E49" s="26" t="s">
        <v>4</v>
      </c>
      <c r="F49" s="26" t="s">
        <v>2</v>
      </c>
      <c r="G49" s="21" t="s">
        <v>3</v>
      </c>
      <c r="H49" s="23"/>
    </row>
    <row r="50" spans="1:8" x14ac:dyDescent="0.2">
      <c r="A50" s="16" t="s">
        <v>17</v>
      </c>
      <c r="B50">
        <v>0</v>
      </c>
      <c r="C50">
        <v>0</v>
      </c>
      <c r="D50">
        <f>AVERAGE(B50:C50)</f>
        <v>0</v>
      </c>
      <c r="E50" s="4">
        <v>1</v>
      </c>
      <c r="F50" s="4">
        <f>1737.4-1713.5</f>
        <v>23.900000000000091</v>
      </c>
      <c r="G50" s="23" t="e">
        <f>LOG10(D50*100*E50/F50*1000)</f>
        <v>#NUM!</v>
      </c>
      <c r="H50" s="23"/>
    </row>
    <row r="51" spans="1:8" x14ac:dyDescent="0.2">
      <c r="A51" s="16" t="s">
        <v>18</v>
      </c>
      <c r="B51" s="17">
        <v>0</v>
      </c>
      <c r="C51" s="17">
        <v>0</v>
      </c>
      <c r="D51" s="17">
        <f t="shared" ref="D51:D64" si="14">AVERAGE(B51:C51)</f>
        <v>0</v>
      </c>
      <c r="E51" s="16">
        <v>1</v>
      </c>
      <c r="F51" s="16">
        <f>1743.6-1701.2</f>
        <v>42.399999999999864</v>
      </c>
      <c r="G51" s="23" t="e">
        <f t="shared" ref="G51:G54" si="15">LOG10(D51*100*E51/F51*1000)</f>
        <v>#NUM!</v>
      </c>
      <c r="H51" s="23"/>
    </row>
    <row r="52" spans="1:8" x14ac:dyDescent="0.2">
      <c r="A52" s="16" t="s">
        <v>19</v>
      </c>
      <c r="B52" s="17">
        <v>1</v>
      </c>
      <c r="C52" s="17">
        <v>1</v>
      </c>
      <c r="D52" s="17">
        <f t="shared" si="14"/>
        <v>1</v>
      </c>
      <c r="E52" s="16">
        <v>1</v>
      </c>
      <c r="F52" s="16">
        <f>1691.2-1671.5</f>
        <v>19.700000000000045</v>
      </c>
      <c r="G52" s="23">
        <f t="shared" si="15"/>
        <v>3.7055337738384062</v>
      </c>
      <c r="H52" s="23"/>
    </row>
    <row r="53" spans="1:8" x14ac:dyDescent="0.2">
      <c r="A53" s="16" t="s">
        <v>20</v>
      </c>
      <c r="B53" s="17">
        <v>3</v>
      </c>
      <c r="C53" s="17">
        <v>13</v>
      </c>
      <c r="D53" s="17">
        <f t="shared" si="14"/>
        <v>8</v>
      </c>
      <c r="E53" s="16">
        <v>1</v>
      </c>
      <c r="F53" s="16">
        <f>1676.2-1653.5</f>
        <v>22.700000000000045</v>
      </c>
      <c r="G53" s="23">
        <f t="shared" si="15"/>
        <v>4.5470641297988204</v>
      </c>
      <c r="H53" s="23"/>
    </row>
    <row r="54" spans="1:8" ht="17" x14ac:dyDescent="0.2">
      <c r="A54" s="27" t="s">
        <v>21</v>
      </c>
      <c r="B54" s="18">
        <v>26</v>
      </c>
      <c r="C54" s="18">
        <v>19</v>
      </c>
      <c r="D54" s="17">
        <f t="shared" si="14"/>
        <v>22.5</v>
      </c>
      <c r="E54" s="27">
        <v>1</v>
      </c>
      <c r="F54" s="27">
        <f>1759.6-1715.2</f>
        <v>44.399999999999864</v>
      </c>
      <c r="G54" s="23">
        <f t="shared" si="15"/>
        <v>4.7047995479967444</v>
      </c>
      <c r="H54" s="23"/>
    </row>
    <row r="55" spans="1:8" x14ac:dyDescent="0.2">
      <c r="A55" s="16" t="s">
        <v>16</v>
      </c>
      <c r="B55" s="17">
        <v>4</v>
      </c>
      <c r="C55" s="17">
        <v>2</v>
      </c>
      <c r="D55" s="17">
        <f t="shared" si="14"/>
        <v>3</v>
      </c>
      <c r="E55" s="16">
        <v>1</v>
      </c>
      <c r="F55" s="16">
        <f>1798.4-1778.6</f>
        <v>19.800000000000182</v>
      </c>
      <c r="G55" s="23">
        <f>LOG10(D55*100*E55/F55*1000)</f>
        <v>4.1804560644581272</v>
      </c>
      <c r="H55" s="23"/>
    </row>
    <row r="56" spans="1:8" x14ac:dyDescent="0.2">
      <c r="A56" s="16" t="s">
        <v>14</v>
      </c>
      <c r="B56" s="17">
        <v>5</v>
      </c>
      <c r="C56" s="17">
        <v>7</v>
      </c>
      <c r="D56" s="17">
        <f t="shared" si="14"/>
        <v>6</v>
      </c>
      <c r="E56" s="16">
        <v>1</v>
      </c>
      <c r="F56" s="16">
        <f>1747.9-1663.1</f>
        <v>84.800000000000182</v>
      </c>
      <c r="G56" s="23">
        <f>LOG10(D56*100*E56/F56*1000)</f>
        <v>3.8497553981269288</v>
      </c>
      <c r="H56" s="23"/>
    </row>
    <row r="57" spans="1:8" x14ac:dyDescent="0.2">
      <c r="A57" s="16" t="s">
        <v>53</v>
      </c>
      <c r="B57" s="17">
        <v>0</v>
      </c>
      <c r="C57" s="17">
        <v>0</v>
      </c>
      <c r="D57" s="17">
        <f t="shared" si="14"/>
        <v>0</v>
      </c>
      <c r="E57" s="16">
        <v>1</v>
      </c>
      <c r="F57" s="16">
        <f>1772.2-1676.4</f>
        <v>95.799999999999955</v>
      </c>
      <c r="G57" s="23" t="e">
        <f t="shared" ref="G57:G64" si="16">LOG10(D57*100*E57/F57*1000)</f>
        <v>#NUM!</v>
      </c>
      <c r="H57" s="23"/>
    </row>
    <row r="58" spans="1:8" x14ac:dyDescent="0.2">
      <c r="A58" s="16" t="s">
        <v>56</v>
      </c>
      <c r="B58" s="17">
        <v>1</v>
      </c>
      <c r="C58" s="17">
        <v>0</v>
      </c>
      <c r="D58" s="17">
        <f t="shared" si="14"/>
        <v>0.5</v>
      </c>
      <c r="E58" s="16">
        <v>1</v>
      </c>
      <c r="F58" s="4">
        <f>1860.8-1776.5</f>
        <v>84.299999999999955</v>
      </c>
      <c r="G58" s="23">
        <f t="shared" si="16"/>
        <v>2.7731424297112768</v>
      </c>
      <c r="H58" s="23"/>
    </row>
    <row r="59" spans="1:8" x14ac:dyDescent="0.2">
      <c r="A59" s="16" t="s">
        <v>57</v>
      </c>
      <c r="B59" s="17">
        <v>0</v>
      </c>
      <c r="C59" s="17">
        <v>0</v>
      </c>
      <c r="D59" s="17">
        <f t="shared" si="14"/>
        <v>0</v>
      </c>
      <c r="E59" s="16">
        <v>1</v>
      </c>
      <c r="F59" s="4">
        <f>1762.3-1751.8</f>
        <v>10.5</v>
      </c>
      <c r="G59" s="23" t="e">
        <f t="shared" si="16"/>
        <v>#NUM!</v>
      </c>
      <c r="H59" s="23"/>
    </row>
    <row r="60" spans="1:8" x14ac:dyDescent="0.2">
      <c r="A60" s="31" t="s">
        <v>59</v>
      </c>
      <c r="B60" s="32">
        <v>0</v>
      </c>
      <c r="C60" s="32">
        <v>0</v>
      </c>
      <c r="D60" s="17">
        <f t="shared" si="14"/>
        <v>0</v>
      </c>
      <c r="E60" s="31">
        <v>1</v>
      </c>
      <c r="F60" s="31">
        <f>1771.5-1685.2</f>
        <v>86.299999999999955</v>
      </c>
      <c r="G60" s="23" t="e">
        <f t="shared" si="16"/>
        <v>#NUM!</v>
      </c>
      <c r="H60" s="23"/>
    </row>
    <row r="61" spans="1:8" x14ac:dyDescent="0.2">
      <c r="A61" s="31" t="s">
        <v>60</v>
      </c>
      <c r="B61" s="32">
        <v>0</v>
      </c>
      <c r="C61" s="32">
        <v>0</v>
      </c>
      <c r="D61" s="17">
        <f t="shared" si="14"/>
        <v>0</v>
      </c>
      <c r="E61" s="31">
        <v>1</v>
      </c>
      <c r="F61" s="31">
        <f>1769.8-1717.6</f>
        <v>52.200000000000045</v>
      </c>
      <c r="G61" s="23" t="e">
        <f t="shared" si="16"/>
        <v>#NUM!</v>
      </c>
      <c r="H61" s="23"/>
    </row>
    <row r="62" spans="1:8" x14ac:dyDescent="0.2">
      <c r="A62" s="31" t="s">
        <v>61</v>
      </c>
      <c r="B62" s="32">
        <v>0</v>
      </c>
      <c r="C62" s="32">
        <v>0</v>
      </c>
      <c r="D62" s="17">
        <f t="shared" si="14"/>
        <v>0</v>
      </c>
      <c r="E62" s="31">
        <v>1</v>
      </c>
      <c r="F62" s="31">
        <f>1865.7-1736.3</f>
        <v>129.40000000000009</v>
      </c>
      <c r="G62" s="23" t="e">
        <f t="shared" si="16"/>
        <v>#NUM!</v>
      </c>
      <c r="H62" s="23"/>
    </row>
    <row r="63" spans="1:8" x14ac:dyDescent="0.2">
      <c r="A63" s="16" t="s">
        <v>63</v>
      </c>
      <c r="B63" s="32">
        <v>0</v>
      </c>
      <c r="C63" s="32">
        <v>0</v>
      </c>
      <c r="D63" s="17">
        <f t="shared" si="14"/>
        <v>0</v>
      </c>
      <c r="E63" s="16">
        <v>1</v>
      </c>
      <c r="F63" s="4">
        <f>1820.2-1732</f>
        <v>88.200000000000045</v>
      </c>
      <c r="G63" s="23" t="e">
        <f t="shared" si="16"/>
        <v>#NUM!</v>
      </c>
      <c r="H63" s="23"/>
    </row>
    <row r="64" spans="1:8" x14ac:dyDescent="0.2">
      <c r="A64" s="16" t="s">
        <v>64</v>
      </c>
      <c r="B64" s="32">
        <v>0</v>
      </c>
      <c r="C64" s="32">
        <v>0</v>
      </c>
      <c r="D64" s="17">
        <f t="shared" si="14"/>
        <v>0</v>
      </c>
      <c r="E64" s="4">
        <v>1</v>
      </c>
      <c r="F64" s="4">
        <f>2001-1825.3</f>
        <v>175.70000000000005</v>
      </c>
      <c r="G64" s="23" t="e">
        <f t="shared" si="16"/>
        <v>#NUM!</v>
      </c>
      <c r="H64" s="21"/>
    </row>
    <row r="65" spans="1:8" ht="51" x14ac:dyDescent="0.2">
      <c r="A65" s="30" t="s">
        <v>36</v>
      </c>
      <c r="B65" s="39" t="s">
        <v>0</v>
      </c>
      <c r="C65" s="39"/>
      <c r="D65" s="26" t="s">
        <v>1</v>
      </c>
      <c r="E65" s="26" t="s">
        <v>4</v>
      </c>
      <c r="F65" s="26" t="s">
        <v>2</v>
      </c>
      <c r="G65" s="21" t="s">
        <v>3</v>
      </c>
      <c r="H65" s="23"/>
    </row>
    <row r="66" spans="1:8" x14ac:dyDescent="0.2">
      <c r="A66" s="16" t="s">
        <v>17</v>
      </c>
      <c r="B66">
        <v>31</v>
      </c>
      <c r="C66">
        <v>29</v>
      </c>
      <c r="D66">
        <f>AVERAGE(B66:C66)</f>
        <v>30</v>
      </c>
      <c r="E66" s="4">
        <v>1000</v>
      </c>
      <c r="F66" s="4">
        <f>1899.2-1852.6</f>
        <v>46.600000000000136</v>
      </c>
      <c r="G66" s="23">
        <f>LOG10(D66*100*E66/F66*1000)</f>
        <v>7.8087353380296607</v>
      </c>
      <c r="H66" s="23"/>
    </row>
    <row r="67" spans="1:8" x14ac:dyDescent="0.2">
      <c r="A67" s="16" t="s">
        <v>18</v>
      </c>
      <c r="B67" s="17">
        <v>7</v>
      </c>
      <c r="C67" s="17">
        <v>9</v>
      </c>
      <c r="D67" s="17">
        <f t="shared" ref="D67:D80" si="17">AVERAGE(B67:C67)</f>
        <v>8</v>
      </c>
      <c r="E67" s="16">
        <v>1000</v>
      </c>
      <c r="F67" s="16">
        <f>1744.8-1726.6</f>
        <v>18.200000000000045</v>
      </c>
      <c r="G67" s="23">
        <f t="shared" ref="G67:G80" si="18">LOG10(D67*100*E67/F67*1000)</f>
        <v>7.6430185990068678</v>
      </c>
      <c r="H67" s="23"/>
    </row>
    <row r="68" spans="1:8" x14ac:dyDescent="0.2">
      <c r="A68" s="16" t="s">
        <v>19</v>
      </c>
      <c r="B68" s="17">
        <v>6</v>
      </c>
      <c r="C68" s="17">
        <v>5</v>
      </c>
      <c r="D68" s="17">
        <f t="shared" si="17"/>
        <v>5.5</v>
      </c>
      <c r="E68" s="16">
        <v>1000</v>
      </c>
      <c r="F68" s="16">
        <f>1672.3-1648.8</f>
        <v>23.5</v>
      </c>
      <c r="G68" s="23">
        <f t="shared" si="18"/>
        <v>7.3692948272225074</v>
      </c>
      <c r="H68" s="23"/>
    </row>
    <row r="69" spans="1:8" x14ac:dyDescent="0.2">
      <c r="A69" s="16" t="s">
        <v>23</v>
      </c>
      <c r="B69" s="17">
        <v>13</v>
      </c>
      <c r="C69" s="17">
        <v>26</v>
      </c>
      <c r="D69" s="17">
        <f t="shared" si="17"/>
        <v>19.5</v>
      </c>
      <c r="E69" s="16">
        <v>1000</v>
      </c>
      <c r="F69" s="16">
        <f>1775.7-1744.1</f>
        <v>31.600000000000136</v>
      </c>
      <c r="G69" s="23">
        <f t="shared" si="18"/>
        <v>7.7903475287441122</v>
      </c>
      <c r="H69" s="23"/>
    </row>
    <row r="70" spans="1:8" ht="17" x14ac:dyDescent="0.2">
      <c r="A70" s="27" t="s">
        <v>21</v>
      </c>
      <c r="B70" s="18">
        <v>68</v>
      </c>
      <c r="C70" s="18">
        <v>75</v>
      </c>
      <c r="D70" s="17">
        <f t="shared" si="17"/>
        <v>71.5</v>
      </c>
      <c r="E70" s="27">
        <v>1000</v>
      </c>
      <c r="F70" s="27">
        <f>1707.2-1671</f>
        <v>36.200000000000045</v>
      </c>
      <c r="G70" s="23">
        <f t="shared" si="18"/>
        <v>8.2955974712679144</v>
      </c>
      <c r="H70" s="23"/>
    </row>
    <row r="71" spans="1:8" x14ac:dyDescent="0.2">
      <c r="A71" s="16" t="s">
        <v>16</v>
      </c>
      <c r="B71" s="17">
        <v>18</v>
      </c>
      <c r="C71" s="17">
        <v>19</v>
      </c>
      <c r="D71" s="17">
        <f t="shared" si="17"/>
        <v>18.5</v>
      </c>
      <c r="E71" s="16">
        <v>1000</v>
      </c>
      <c r="F71" s="16">
        <f>1750.3-1728.9</f>
        <v>21.399999999999864</v>
      </c>
      <c r="G71" s="23">
        <f t="shared" si="18"/>
        <v>7.9367579550538254</v>
      </c>
      <c r="H71" s="23"/>
    </row>
    <row r="72" spans="1:8" x14ac:dyDescent="0.2">
      <c r="A72" s="16" t="s">
        <v>14</v>
      </c>
      <c r="B72" s="17">
        <v>4</v>
      </c>
      <c r="C72" s="17">
        <v>4</v>
      </c>
      <c r="D72" s="17">
        <f t="shared" si="17"/>
        <v>4</v>
      </c>
      <c r="E72" s="16">
        <v>1000</v>
      </c>
      <c r="F72" s="16">
        <f>1746-1727.2</f>
        <v>18.799999999999955</v>
      </c>
      <c r="G72" s="23">
        <f t="shared" si="18"/>
        <v>7.3279021420642838</v>
      </c>
      <c r="H72" s="23"/>
    </row>
    <row r="73" spans="1:8" x14ac:dyDescent="0.2">
      <c r="A73" s="16" t="s">
        <v>58</v>
      </c>
      <c r="B73" s="17">
        <v>9</v>
      </c>
      <c r="C73" s="17">
        <v>7</v>
      </c>
      <c r="D73" s="17">
        <f t="shared" si="17"/>
        <v>8</v>
      </c>
      <c r="E73" s="16">
        <v>100</v>
      </c>
      <c r="F73" s="16">
        <f>1689.8-1671.5</f>
        <v>18.299999999999955</v>
      </c>
      <c r="G73" s="23">
        <f t="shared" si="18"/>
        <v>6.6406388972615149</v>
      </c>
      <c r="H73" s="23"/>
    </row>
    <row r="74" spans="1:8" x14ac:dyDescent="0.2">
      <c r="A74" s="16" t="s">
        <v>56</v>
      </c>
      <c r="B74" s="17">
        <v>34</v>
      </c>
      <c r="C74" s="17">
        <v>45</v>
      </c>
      <c r="D74" s="17">
        <f t="shared" si="17"/>
        <v>39.5</v>
      </c>
      <c r="E74" s="16">
        <v>10</v>
      </c>
      <c r="F74" s="25">
        <f>1760.9-1742</f>
        <v>18.900000000000091</v>
      </c>
      <c r="G74" s="23">
        <f t="shared" si="18"/>
        <v>6.3201352914532141</v>
      </c>
      <c r="H74" s="23"/>
    </row>
    <row r="75" spans="1:8" x14ac:dyDescent="0.2">
      <c r="A75" s="16" t="s">
        <v>57</v>
      </c>
      <c r="B75" s="17">
        <v>12</v>
      </c>
      <c r="C75" s="17">
        <v>7</v>
      </c>
      <c r="D75" s="17">
        <f>AVERAGE(B75:C75)</f>
        <v>9.5</v>
      </c>
      <c r="E75" s="16">
        <v>1</v>
      </c>
      <c r="F75" s="25">
        <f>1710.5-1676.7</f>
        <v>33.799999999999955</v>
      </c>
      <c r="G75" s="23">
        <f t="shared" si="18"/>
        <v>4.4488069050111934</v>
      </c>
      <c r="H75" s="23"/>
    </row>
    <row r="76" spans="1:8" x14ac:dyDescent="0.2">
      <c r="A76" s="31" t="s">
        <v>59</v>
      </c>
      <c r="B76" s="32">
        <v>0</v>
      </c>
      <c r="C76" s="32">
        <v>1</v>
      </c>
      <c r="D76" s="17">
        <f t="shared" si="17"/>
        <v>0.5</v>
      </c>
      <c r="E76" s="31">
        <v>1</v>
      </c>
      <c r="F76" s="31">
        <f>1804.2-1722</f>
        <v>82.200000000000045</v>
      </c>
      <c r="G76" s="23">
        <f t="shared" si="18"/>
        <v>2.7840981867959682</v>
      </c>
      <c r="H76" s="23"/>
    </row>
    <row r="77" spans="1:8" x14ac:dyDescent="0.2">
      <c r="A77" s="31" t="s">
        <v>60</v>
      </c>
      <c r="B77" s="32">
        <v>0</v>
      </c>
      <c r="C77" s="32">
        <v>0</v>
      </c>
      <c r="D77" s="17">
        <f t="shared" si="17"/>
        <v>0</v>
      </c>
      <c r="E77" s="31">
        <v>1</v>
      </c>
      <c r="F77" s="31">
        <f>1692.1-1602.6</f>
        <v>89.5</v>
      </c>
      <c r="G77" s="23" t="e">
        <f t="shared" si="18"/>
        <v>#NUM!</v>
      </c>
      <c r="H77" s="23"/>
    </row>
    <row r="78" spans="1:8" x14ac:dyDescent="0.2">
      <c r="A78" s="31" t="s">
        <v>61</v>
      </c>
      <c r="B78" s="32">
        <v>0</v>
      </c>
      <c r="C78" s="32">
        <v>0</v>
      </c>
      <c r="D78" s="17">
        <f t="shared" si="17"/>
        <v>0</v>
      </c>
      <c r="E78" s="31">
        <v>1</v>
      </c>
      <c r="F78" s="31">
        <f>1817.8-1740.1</f>
        <v>77.700000000000045</v>
      </c>
      <c r="G78" s="23" t="e">
        <f t="shared" si="18"/>
        <v>#NUM!</v>
      </c>
      <c r="H78" s="23"/>
    </row>
    <row r="79" spans="1:8" x14ac:dyDescent="0.2">
      <c r="A79" s="16" t="s">
        <v>63</v>
      </c>
      <c r="B79" s="32">
        <v>0</v>
      </c>
      <c r="C79" s="32">
        <v>0</v>
      </c>
      <c r="D79" s="17">
        <f t="shared" si="17"/>
        <v>0</v>
      </c>
      <c r="E79" s="16">
        <v>1</v>
      </c>
      <c r="F79" s="25">
        <f>1832.2-1777.5</f>
        <v>54.700000000000045</v>
      </c>
      <c r="G79" s="22" t="e">
        <f t="shared" si="18"/>
        <v>#NUM!</v>
      </c>
      <c r="H79" s="23"/>
    </row>
    <row r="80" spans="1:8" x14ac:dyDescent="0.2">
      <c r="A80" s="4" t="s">
        <v>64</v>
      </c>
      <c r="B80" s="32">
        <v>0</v>
      </c>
      <c r="C80" s="32">
        <v>0</v>
      </c>
      <c r="D80" s="17">
        <f t="shared" si="17"/>
        <v>0</v>
      </c>
      <c r="E80" s="16">
        <v>1</v>
      </c>
      <c r="F80" s="25">
        <f>1809.7-1754.9</f>
        <v>54.799999999999955</v>
      </c>
      <c r="G80" s="22" t="e">
        <f t="shared" si="18"/>
        <v>#NUM!</v>
      </c>
      <c r="H80" s="23"/>
    </row>
    <row r="81" spans="1:8" ht="51" x14ac:dyDescent="0.2">
      <c r="A81" s="2" t="s">
        <v>37</v>
      </c>
      <c r="B81" s="39" t="s">
        <v>0</v>
      </c>
      <c r="C81" s="39"/>
      <c r="D81" s="26" t="s">
        <v>1</v>
      </c>
      <c r="E81" s="26" t="s">
        <v>4</v>
      </c>
      <c r="F81" s="26" t="s">
        <v>2</v>
      </c>
      <c r="G81" s="21" t="s">
        <v>3</v>
      </c>
      <c r="H81" s="23"/>
    </row>
    <row r="82" spans="1:8" x14ac:dyDescent="0.2">
      <c r="A82" s="16" t="s">
        <v>17</v>
      </c>
      <c r="B82">
        <v>20</v>
      </c>
      <c r="C82">
        <v>30</v>
      </c>
      <c r="D82">
        <f>AVERAGE(B82:C82)</f>
        <v>25</v>
      </c>
      <c r="E82" s="4">
        <v>100</v>
      </c>
      <c r="F82" s="4">
        <f>1833.4-1747.6</f>
        <v>85.800000000000182</v>
      </c>
      <c r="G82" s="22">
        <f>LOG10(D82*100*E82/F82*1000)</f>
        <v>6.4644527208233313</v>
      </c>
      <c r="H82" s="23"/>
    </row>
    <row r="83" spans="1:8" x14ac:dyDescent="0.2">
      <c r="A83" s="16" t="s">
        <v>18</v>
      </c>
      <c r="B83" s="17">
        <v>14</v>
      </c>
      <c r="C83" s="17">
        <v>24</v>
      </c>
      <c r="D83" s="17">
        <f t="shared" ref="D83:D96" si="19">AVERAGE(B83:C83)</f>
        <v>19</v>
      </c>
      <c r="E83" s="16">
        <v>1000</v>
      </c>
      <c r="F83" s="16">
        <f>1711.6-1679.6</f>
        <v>32</v>
      </c>
      <c r="G83" s="22">
        <f t="shared" ref="G83:G96" si="20">LOG10(D83*100*E83/F83*1000)</f>
        <v>7.7736036226329226</v>
      </c>
      <c r="H83" s="23"/>
    </row>
    <row r="84" spans="1:8" x14ac:dyDescent="0.2">
      <c r="A84" s="16" t="s">
        <v>19</v>
      </c>
      <c r="B84" s="17">
        <v>57</v>
      </c>
      <c r="C84" s="17">
        <v>53</v>
      </c>
      <c r="D84" s="17">
        <f t="shared" si="19"/>
        <v>55</v>
      </c>
      <c r="E84" s="16">
        <v>1000</v>
      </c>
      <c r="F84" s="16">
        <f>1613.5-1572</f>
        <v>41.5</v>
      </c>
      <c r="G84" s="22">
        <f t="shared" si="20"/>
        <v>8.1223145927821516</v>
      </c>
      <c r="H84" s="23"/>
    </row>
    <row r="85" spans="1:8" x14ac:dyDescent="0.2">
      <c r="A85" s="16" t="s">
        <v>23</v>
      </c>
      <c r="B85" s="17">
        <v>111</v>
      </c>
      <c r="C85" s="17">
        <v>113</v>
      </c>
      <c r="D85" s="17">
        <f t="shared" si="19"/>
        <v>112</v>
      </c>
      <c r="E85" s="16">
        <v>100</v>
      </c>
      <c r="F85" s="16">
        <f>1763.5-1732.4</f>
        <v>31.099999999999909</v>
      </c>
      <c r="G85" s="22">
        <f t="shared" si="20"/>
        <v>7.5564576336433458</v>
      </c>
      <c r="H85" s="23"/>
    </row>
    <row r="86" spans="1:8" ht="17" x14ac:dyDescent="0.2">
      <c r="A86" s="27" t="s">
        <v>21</v>
      </c>
      <c r="B86" s="27">
        <v>36</v>
      </c>
      <c r="C86" s="27">
        <v>39</v>
      </c>
      <c r="D86" s="17">
        <f t="shared" si="19"/>
        <v>37.5</v>
      </c>
      <c r="E86" s="27">
        <v>1000</v>
      </c>
      <c r="F86" s="27">
        <f>1703.2-1675.4</f>
        <v>27.799999999999955</v>
      </c>
      <c r="G86" s="22">
        <f t="shared" si="20"/>
        <v>8.1299864718096426</v>
      </c>
      <c r="H86" s="23"/>
    </row>
    <row r="87" spans="1:8" x14ac:dyDescent="0.2">
      <c r="A87" s="16" t="s">
        <v>16</v>
      </c>
      <c r="B87" s="16">
        <v>7</v>
      </c>
      <c r="C87" s="16">
        <v>10</v>
      </c>
      <c r="D87" s="17">
        <f t="shared" si="19"/>
        <v>8.5</v>
      </c>
      <c r="E87" s="16">
        <v>1000</v>
      </c>
      <c r="F87" s="16">
        <f>1723.4-1670</f>
        <v>53.400000000000091</v>
      </c>
      <c r="G87" s="22">
        <f t="shared" si="20"/>
        <v>7.2018776686857358</v>
      </c>
      <c r="H87" s="23"/>
    </row>
    <row r="88" spans="1:8" x14ac:dyDescent="0.2">
      <c r="A88" s="16" t="s">
        <v>24</v>
      </c>
      <c r="B88" s="16">
        <v>8</v>
      </c>
      <c r="C88" s="16">
        <v>8</v>
      </c>
      <c r="D88" s="17">
        <f t="shared" si="19"/>
        <v>8</v>
      </c>
      <c r="E88" s="16">
        <v>100</v>
      </c>
      <c r="F88" s="16">
        <f>1726.5-1661.8</f>
        <v>64.700000000000045</v>
      </c>
      <c r="G88" s="22">
        <f t="shared" si="20"/>
        <v>6.0921857063232432</v>
      </c>
      <c r="H88" s="23"/>
    </row>
    <row r="89" spans="1:8" x14ac:dyDescent="0.2">
      <c r="A89" s="16" t="s">
        <v>58</v>
      </c>
      <c r="B89" s="16">
        <v>38</v>
      </c>
      <c r="C89" s="16">
        <v>35</v>
      </c>
      <c r="D89" s="17">
        <f t="shared" si="19"/>
        <v>36.5</v>
      </c>
      <c r="E89" s="16">
        <v>100</v>
      </c>
      <c r="F89" s="16">
        <f>1905.8-1843.7</f>
        <v>62.099999999999909</v>
      </c>
      <c r="G89" s="22">
        <f t="shared" si="20"/>
        <v>6.7692012642798955</v>
      </c>
      <c r="H89" s="23"/>
    </row>
    <row r="90" spans="1:8" x14ac:dyDescent="0.2">
      <c r="A90" s="16" t="s">
        <v>56</v>
      </c>
      <c r="B90" s="16">
        <v>7</v>
      </c>
      <c r="C90" s="16">
        <v>11</v>
      </c>
      <c r="D90" s="17">
        <f t="shared" si="19"/>
        <v>9</v>
      </c>
      <c r="E90" s="16">
        <v>1</v>
      </c>
      <c r="F90" s="17">
        <f>1760.9-1742</f>
        <v>18.900000000000091</v>
      </c>
      <c r="G90" s="22">
        <f t="shared" si="20"/>
        <v>4.6777807052660787</v>
      </c>
      <c r="H90" s="23"/>
    </row>
    <row r="91" spans="1:8" ht="17" x14ac:dyDescent="0.2">
      <c r="A91" s="27" t="s">
        <v>57</v>
      </c>
      <c r="B91" s="27">
        <v>1</v>
      </c>
      <c r="C91" s="27">
        <v>0</v>
      </c>
      <c r="D91" s="17">
        <f t="shared" si="19"/>
        <v>0.5</v>
      </c>
      <c r="E91" s="27">
        <v>1</v>
      </c>
      <c r="F91" s="27">
        <f>1823.6-1803.8</f>
        <v>19.799999999999955</v>
      </c>
      <c r="G91" s="22">
        <f t="shared" si="20"/>
        <v>3.4023048140744887</v>
      </c>
      <c r="H91" s="23"/>
    </row>
    <row r="92" spans="1:8" x14ac:dyDescent="0.2">
      <c r="A92" s="31" t="s">
        <v>59</v>
      </c>
      <c r="B92" s="31" t="s">
        <v>62</v>
      </c>
      <c r="C92" s="31"/>
      <c r="D92" s="17" t="e">
        <f t="shared" si="19"/>
        <v>#DIV/0!</v>
      </c>
      <c r="E92" s="31"/>
      <c r="F92" s="31">
        <f>1639.6-1596.4</f>
        <v>43.199999999999818</v>
      </c>
      <c r="G92" s="22"/>
      <c r="H92" s="23"/>
    </row>
    <row r="93" spans="1:8" x14ac:dyDescent="0.2">
      <c r="A93" s="31" t="s">
        <v>60</v>
      </c>
      <c r="B93" s="31">
        <v>2</v>
      </c>
      <c r="C93" s="31">
        <v>1</v>
      </c>
      <c r="D93" s="17">
        <f t="shared" si="19"/>
        <v>1.5</v>
      </c>
      <c r="E93" s="31">
        <v>1</v>
      </c>
      <c r="F93" s="31">
        <f>1746.8-1654.9</f>
        <v>91.899999999999864</v>
      </c>
      <c r="G93" s="22">
        <f t="shared" si="20"/>
        <v>3.2127757476695709</v>
      </c>
      <c r="H93" s="23"/>
    </row>
    <row r="94" spans="1:8" x14ac:dyDescent="0.2">
      <c r="A94" s="31" t="s">
        <v>61</v>
      </c>
      <c r="B94" s="31">
        <v>6</v>
      </c>
      <c r="C94" s="31">
        <v>2</v>
      </c>
      <c r="D94" s="17">
        <f t="shared" si="19"/>
        <v>4</v>
      </c>
      <c r="E94" s="31">
        <v>1</v>
      </c>
      <c r="F94" s="31">
        <f>1858.7-1730</f>
        <v>128.70000000000005</v>
      </c>
      <c r="G94" s="22">
        <f t="shared" si="20"/>
        <v>3.4924814444235754</v>
      </c>
      <c r="H94" s="23"/>
    </row>
    <row r="95" spans="1:8" ht="17" x14ac:dyDescent="0.2">
      <c r="A95" s="27" t="s">
        <v>63</v>
      </c>
      <c r="B95" s="27">
        <v>5</v>
      </c>
      <c r="C95" s="27">
        <v>3</v>
      </c>
      <c r="D95" s="27">
        <f t="shared" si="19"/>
        <v>4</v>
      </c>
      <c r="E95" s="27">
        <v>1</v>
      </c>
      <c r="F95" s="27">
        <f>1952-1797.7</f>
        <v>154.29999999999995</v>
      </c>
      <c r="G95" s="22">
        <f t="shared" si="20"/>
        <v>3.4136940652648144</v>
      </c>
      <c r="H95" s="23"/>
    </row>
    <row r="96" spans="1:8" ht="17" x14ac:dyDescent="0.2">
      <c r="A96" s="27" t="s">
        <v>64</v>
      </c>
      <c r="B96" s="27">
        <v>1</v>
      </c>
      <c r="C96" s="27">
        <v>0</v>
      </c>
      <c r="D96" s="27">
        <f t="shared" si="19"/>
        <v>0.5</v>
      </c>
      <c r="E96" s="27">
        <v>1</v>
      </c>
      <c r="F96" s="27">
        <f>1894.9-1779.7</f>
        <v>115.20000000000005</v>
      </c>
      <c r="G96" s="22">
        <f t="shared" si="20"/>
        <v>2.6375175252488252</v>
      </c>
      <c r="H96" s="23"/>
    </row>
    <row r="97" spans="1:8" ht="51" x14ac:dyDescent="0.2">
      <c r="A97" s="30" t="s">
        <v>38</v>
      </c>
      <c r="B97" s="39" t="s">
        <v>0</v>
      </c>
      <c r="C97" s="39"/>
      <c r="D97" s="26" t="s">
        <v>1</v>
      </c>
      <c r="E97" s="26" t="s">
        <v>4</v>
      </c>
      <c r="F97" s="26" t="s">
        <v>2</v>
      </c>
      <c r="G97" s="21" t="s">
        <v>3</v>
      </c>
      <c r="H97" s="21"/>
    </row>
    <row r="98" spans="1:8" x14ac:dyDescent="0.2">
      <c r="A98" s="16" t="s">
        <v>17</v>
      </c>
      <c r="B98">
        <v>84</v>
      </c>
      <c r="C98">
        <v>95</v>
      </c>
      <c r="D98">
        <f>AVERAGE(B98:C98)</f>
        <v>89.5</v>
      </c>
      <c r="E98" s="4">
        <v>1000</v>
      </c>
      <c r="F98" s="16">
        <f>1742.4-1666.4</f>
        <v>76</v>
      </c>
      <c r="G98" s="22">
        <f>LOG10(D98*100*E98/F98*1000)</f>
        <v>8.0710094430351198</v>
      </c>
      <c r="H98" s="23"/>
    </row>
    <row r="99" spans="1:8" x14ac:dyDescent="0.2">
      <c r="A99" s="16" t="s">
        <v>18</v>
      </c>
      <c r="B99" s="17">
        <v>7</v>
      </c>
      <c r="C99" s="17">
        <v>9</v>
      </c>
      <c r="D99" s="17">
        <f t="shared" ref="D99:D112" si="21">AVERAGE(B99:C99)</f>
        <v>8</v>
      </c>
      <c r="E99" s="16">
        <v>1000</v>
      </c>
      <c r="F99">
        <f>1850-1759.8</f>
        <v>90.200000000000045</v>
      </c>
      <c r="G99" s="22">
        <f>LOG10(D99*100*E99/F99*1000)</f>
        <v>6.9478834494500017</v>
      </c>
      <c r="H99" s="23"/>
    </row>
    <row r="100" spans="1:8" x14ac:dyDescent="0.2">
      <c r="A100" s="16" t="s">
        <v>19</v>
      </c>
      <c r="B100" s="17">
        <v>124</v>
      </c>
      <c r="C100" s="17">
        <v>89</v>
      </c>
      <c r="D100" s="17">
        <f t="shared" si="21"/>
        <v>106.5</v>
      </c>
      <c r="E100" s="16">
        <v>100</v>
      </c>
      <c r="F100" s="16">
        <f>1746-1717</f>
        <v>29</v>
      </c>
      <c r="G100" s="22">
        <f>LOG10(D100*100*E100/F100*1000)</f>
        <v>7.5649516098758003</v>
      </c>
      <c r="H100" s="23"/>
    </row>
    <row r="101" spans="1:8" x14ac:dyDescent="0.2">
      <c r="A101" s="16" t="s">
        <v>20</v>
      </c>
      <c r="B101" s="17">
        <v>155</v>
      </c>
      <c r="C101" s="17">
        <v>134</v>
      </c>
      <c r="D101" s="17">
        <f t="shared" si="21"/>
        <v>144.5</v>
      </c>
      <c r="E101" s="16">
        <v>100</v>
      </c>
      <c r="F101" s="16">
        <f>1800.6-1696.3</f>
        <v>104.29999999999995</v>
      </c>
      <c r="G101" s="22">
        <f>LOG10(D101*100*E101/F101*1000)</f>
        <v>7.141583538666036</v>
      </c>
      <c r="H101" s="23"/>
    </row>
    <row r="102" spans="1:8" ht="17" x14ac:dyDescent="0.2">
      <c r="A102" s="27" t="s">
        <v>21</v>
      </c>
      <c r="B102" s="18">
        <v>58</v>
      </c>
      <c r="C102" s="18">
        <v>64</v>
      </c>
      <c r="D102" s="17">
        <f t="shared" si="21"/>
        <v>61</v>
      </c>
      <c r="E102" s="27">
        <v>1000</v>
      </c>
      <c r="F102" s="27">
        <f>1751.3-1648</f>
        <v>103.29999999999995</v>
      </c>
      <c r="G102" s="22">
        <f t="shared" ref="G102:G112" si="22">LOG10(D102*100*E102/F102*1000)</f>
        <v>7.7712295134911464</v>
      </c>
      <c r="H102" s="23"/>
    </row>
    <row r="103" spans="1:8" x14ac:dyDescent="0.2">
      <c r="A103" s="16" t="s">
        <v>16</v>
      </c>
      <c r="B103" s="17">
        <v>101</v>
      </c>
      <c r="C103" s="17">
        <v>92</v>
      </c>
      <c r="D103" s="17">
        <f t="shared" si="21"/>
        <v>96.5</v>
      </c>
      <c r="E103" s="16">
        <v>1000</v>
      </c>
      <c r="F103" s="16">
        <f>1747.5-1661.8</f>
        <v>85.700000000000045</v>
      </c>
      <c r="G103" s="22">
        <f t="shared" si="22"/>
        <v>8.051546491420595</v>
      </c>
      <c r="H103" s="23"/>
    </row>
    <row r="104" spans="1:8" x14ac:dyDescent="0.2">
      <c r="A104" s="16" t="s">
        <v>14</v>
      </c>
      <c r="B104" s="17">
        <v>4</v>
      </c>
      <c r="C104" s="17">
        <v>3</v>
      </c>
      <c r="D104" s="17">
        <f t="shared" si="21"/>
        <v>3.5</v>
      </c>
      <c r="E104" s="16">
        <v>1000</v>
      </c>
      <c r="F104" s="16">
        <f>1846.4-1784.6</f>
        <v>61.800000000000182</v>
      </c>
      <c r="G104" s="22">
        <f t="shared" si="22"/>
        <v>6.7530795692614589</v>
      </c>
      <c r="H104" s="23"/>
    </row>
    <row r="105" spans="1:8" x14ac:dyDescent="0.2">
      <c r="A105" s="16" t="s">
        <v>53</v>
      </c>
      <c r="B105" s="17">
        <v>44</v>
      </c>
      <c r="C105" s="17">
        <v>32</v>
      </c>
      <c r="D105" s="17">
        <f t="shared" si="21"/>
        <v>38</v>
      </c>
      <c r="E105" s="16">
        <v>10</v>
      </c>
      <c r="F105">
        <f>1674.4-1650.2</f>
        <v>24.200000000000045</v>
      </c>
      <c r="G105" s="22">
        <f t="shared" si="22"/>
        <v>6.1959682306363781</v>
      </c>
      <c r="H105" s="23"/>
    </row>
    <row r="106" spans="1:8" ht="17" x14ac:dyDescent="0.2">
      <c r="A106" s="27" t="s">
        <v>56</v>
      </c>
      <c r="B106" s="19">
        <v>39</v>
      </c>
      <c r="C106" s="19">
        <v>45</v>
      </c>
      <c r="D106" s="17">
        <f t="shared" si="21"/>
        <v>42</v>
      </c>
      <c r="E106" s="16">
        <v>10</v>
      </c>
      <c r="F106" s="16">
        <f>1633.5-1598.2</f>
        <v>35.299999999999955</v>
      </c>
      <c r="G106" s="22">
        <f t="shared" si="22"/>
        <v>6.0754745850100784</v>
      </c>
      <c r="H106" s="23"/>
    </row>
    <row r="107" spans="1:8" x14ac:dyDescent="0.2">
      <c r="A107" s="16" t="s">
        <v>57</v>
      </c>
      <c r="B107" s="17">
        <v>17</v>
      </c>
      <c r="C107" s="17">
        <v>19</v>
      </c>
      <c r="D107" s="17">
        <f t="shared" si="21"/>
        <v>18</v>
      </c>
      <c r="E107" s="4">
        <v>100</v>
      </c>
      <c r="F107" s="4">
        <f>1841.9-1767.6</f>
        <v>74.300000000000182</v>
      </c>
      <c r="G107" s="22">
        <f t="shared" si="22"/>
        <v>6.3842836913427297</v>
      </c>
      <c r="H107" s="23"/>
    </row>
    <row r="108" spans="1:8" x14ac:dyDescent="0.2">
      <c r="A108" s="31" t="s">
        <v>59</v>
      </c>
      <c r="B108" s="32">
        <v>13</v>
      </c>
      <c r="C108" s="32">
        <v>11</v>
      </c>
      <c r="D108" s="17">
        <f t="shared" si="21"/>
        <v>12</v>
      </c>
      <c r="E108" s="31">
        <v>100</v>
      </c>
      <c r="F108" s="31">
        <f>1655.1-1595.1</f>
        <v>60</v>
      </c>
      <c r="G108" s="22">
        <f t="shared" si="22"/>
        <v>6.3010299956639813</v>
      </c>
      <c r="H108" s="23"/>
    </row>
    <row r="109" spans="1:8" x14ac:dyDescent="0.2">
      <c r="A109" s="31" t="s">
        <v>60</v>
      </c>
      <c r="B109" s="32">
        <v>0</v>
      </c>
      <c r="C109" s="32">
        <v>0</v>
      </c>
      <c r="D109" s="17">
        <f t="shared" si="21"/>
        <v>0</v>
      </c>
      <c r="E109" s="31">
        <v>1</v>
      </c>
      <c r="F109" s="31">
        <f>1743.4-1681.4</f>
        <v>62</v>
      </c>
      <c r="G109" s="22" t="e">
        <f t="shared" si="22"/>
        <v>#NUM!</v>
      </c>
      <c r="H109" s="23"/>
    </row>
    <row r="110" spans="1:8" x14ac:dyDescent="0.2">
      <c r="A110" s="31" t="s">
        <v>61</v>
      </c>
      <c r="B110" s="32">
        <v>0</v>
      </c>
      <c r="C110" s="32">
        <v>0</v>
      </c>
      <c r="D110" s="17">
        <f t="shared" si="21"/>
        <v>0</v>
      </c>
      <c r="E110" s="31">
        <v>1</v>
      </c>
      <c r="F110" s="31">
        <f>1726.6-1664</f>
        <v>62.599999999999909</v>
      </c>
      <c r="G110" s="22" t="e">
        <f t="shared" si="22"/>
        <v>#NUM!</v>
      </c>
      <c r="H110" s="23"/>
    </row>
    <row r="111" spans="1:8" x14ac:dyDescent="0.2">
      <c r="A111" s="16" t="s">
        <v>63</v>
      </c>
      <c r="B111" s="32">
        <v>0</v>
      </c>
      <c r="C111" s="32">
        <v>0</v>
      </c>
      <c r="D111" s="17">
        <f t="shared" si="21"/>
        <v>0</v>
      </c>
      <c r="E111" s="4">
        <v>1</v>
      </c>
      <c r="F111" s="4">
        <f>1856.7-1840.6</f>
        <v>16.100000000000136</v>
      </c>
      <c r="G111" s="23" t="e">
        <f t="shared" si="22"/>
        <v>#NUM!</v>
      </c>
      <c r="H111" s="23"/>
    </row>
    <row r="112" spans="1:8" x14ac:dyDescent="0.2">
      <c r="A112" s="16" t="s">
        <v>64</v>
      </c>
      <c r="B112" s="32">
        <v>0</v>
      </c>
      <c r="C112" s="32">
        <v>0</v>
      </c>
      <c r="D112" s="17">
        <f t="shared" si="21"/>
        <v>0</v>
      </c>
      <c r="E112" s="4">
        <v>1</v>
      </c>
      <c r="F112" s="4">
        <f>1839.9-1710.2</f>
        <v>129.70000000000005</v>
      </c>
      <c r="G112" s="23" t="e">
        <f t="shared" si="22"/>
        <v>#NUM!</v>
      </c>
      <c r="H112" s="23"/>
    </row>
    <row r="113" spans="1:8" ht="51" x14ac:dyDescent="0.2">
      <c r="A113" s="30" t="s">
        <v>39</v>
      </c>
      <c r="B113" s="39" t="s">
        <v>0</v>
      </c>
      <c r="C113" s="39"/>
      <c r="D113" s="26" t="s">
        <v>1</v>
      </c>
      <c r="E113" s="26" t="s">
        <v>4</v>
      </c>
      <c r="F113" s="26" t="s">
        <v>2</v>
      </c>
      <c r="G113" s="21" t="s">
        <v>3</v>
      </c>
      <c r="H113" s="23"/>
    </row>
    <row r="114" spans="1:8" x14ac:dyDescent="0.2">
      <c r="A114" s="16" t="s">
        <v>17</v>
      </c>
      <c r="B114">
        <v>14</v>
      </c>
      <c r="C114">
        <v>13</v>
      </c>
      <c r="D114">
        <f>AVERAGE(B114:C114)</f>
        <v>13.5</v>
      </c>
      <c r="E114" s="4">
        <v>1000</v>
      </c>
      <c r="F114" s="4">
        <f>1965.2-1879.1</f>
        <v>86.100000000000136</v>
      </c>
      <c r="G114" s="22">
        <f>LOG10(D114*100*E114/F114*1000)</f>
        <v>7.1953306170413507</v>
      </c>
      <c r="H114" s="23"/>
    </row>
    <row r="115" spans="1:8" x14ac:dyDescent="0.2">
      <c r="A115" s="16" t="s">
        <v>18</v>
      </c>
      <c r="B115" s="17">
        <v>7</v>
      </c>
      <c r="C115" s="17">
        <v>2</v>
      </c>
      <c r="D115" s="17">
        <f t="shared" ref="D115:D128" si="23">AVERAGE(B115:C115)</f>
        <v>4.5</v>
      </c>
      <c r="E115" s="16">
        <v>1000</v>
      </c>
      <c r="F115" s="16">
        <f>1823.1-1737.6</f>
        <v>85.5</v>
      </c>
      <c r="G115" s="22">
        <f>LOG10(D115*100*E115/F115*1000)</f>
        <v>6.7212463990471711</v>
      </c>
      <c r="H115" s="23"/>
    </row>
    <row r="116" spans="1:8" x14ac:dyDescent="0.2">
      <c r="A116" s="16" t="s">
        <v>19</v>
      </c>
      <c r="B116" s="17">
        <v>200</v>
      </c>
      <c r="C116" s="17"/>
      <c r="D116" s="17">
        <f t="shared" si="23"/>
        <v>200</v>
      </c>
      <c r="E116" s="16">
        <v>100</v>
      </c>
      <c r="F116" s="16">
        <f>1768.2-1729.4</f>
        <v>38.799999999999955</v>
      </c>
      <c r="G116" s="22">
        <f t="shared" ref="G116:G128" si="24">LOG10(D116*100*E116/F116*1000)</f>
        <v>7.7121982700697744</v>
      </c>
      <c r="H116" s="23"/>
    </row>
    <row r="117" spans="1:8" x14ac:dyDescent="0.2">
      <c r="A117" s="16" t="s">
        <v>20</v>
      </c>
      <c r="B117" s="17">
        <v>13</v>
      </c>
      <c r="C117" s="17">
        <v>16</v>
      </c>
      <c r="D117" s="17">
        <f t="shared" si="23"/>
        <v>14.5</v>
      </c>
      <c r="E117" s="16">
        <v>1000</v>
      </c>
      <c r="F117" s="16">
        <f>1887.3-1812.6</f>
        <v>74.700000000000045</v>
      </c>
      <c r="G117" s="22">
        <f t="shared" si="24"/>
        <v>7.2880474004195763</v>
      </c>
      <c r="H117" s="23"/>
    </row>
    <row r="118" spans="1:8" ht="17" x14ac:dyDescent="0.2">
      <c r="A118" s="27" t="s">
        <v>21</v>
      </c>
      <c r="B118" s="18">
        <v>2</v>
      </c>
      <c r="C118" s="18">
        <v>2</v>
      </c>
      <c r="D118" s="17">
        <f t="shared" si="23"/>
        <v>2</v>
      </c>
      <c r="E118" s="27">
        <v>1000</v>
      </c>
      <c r="F118" s="27">
        <f>1815.3-1776.8</f>
        <v>38.5</v>
      </c>
      <c r="G118" s="22">
        <f t="shared" si="24"/>
        <v>6.7155692661554802</v>
      </c>
      <c r="H118" s="23"/>
    </row>
    <row r="119" spans="1:8" x14ac:dyDescent="0.2">
      <c r="A119" s="16" t="s">
        <v>16</v>
      </c>
      <c r="B119" s="17">
        <v>18</v>
      </c>
      <c r="C119" s="17">
        <v>27</v>
      </c>
      <c r="D119" s="17">
        <f t="shared" si="23"/>
        <v>22.5</v>
      </c>
      <c r="E119" s="16">
        <v>1000</v>
      </c>
      <c r="F119" s="16">
        <f>1740.2-1670.1</f>
        <v>70.100000000000136</v>
      </c>
      <c r="G119" s="22">
        <f t="shared" si="24"/>
        <v>7.5064645001447028</v>
      </c>
      <c r="H119" s="23"/>
    </row>
    <row r="120" spans="1:8" x14ac:dyDescent="0.2">
      <c r="A120" s="16" t="s">
        <v>14</v>
      </c>
      <c r="B120" s="17">
        <v>5</v>
      </c>
      <c r="C120" s="17">
        <v>2</v>
      </c>
      <c r="D120" s="17">
        <f t="shared" si="23"/>
        <v>3.5</v>
      </c>
      <c r="E120" s="16">
        <v>1000</v>
      </c>
      <c r="F120" s="16">
        <f>1841.3-1772.3</f>
        <v>69</v>
      </c>
      <c r="G120" s="22">
        <f t="shared" si="24"/>
        <v>6.70521895361302</v>
      </c>
      <c r="H120" s="23"/>
    </row>
    <row r="121" spans="1:8" x14ac:dyDescent="0.2">
      <c r="A121" s="16" t="s">
        <v>58</v>
      </c>
      <c r="B121" s="17">
        <v>54</v>
      </c>
      <c r="C121" s="17">
        <v>36</v>
      </c>
      <c r="D121" s="17">
        <f t="shared" si="23"/>
        <v>45</v>
      </c>
      <c r="E121" s="16">
        <v>100</v>
      </c>
      <c r="F121" s="16">
        <f>1818.9-1731.6</f>
        <v>87.300000000000182</v>
      </c>
      <c r="G121" s="22">
        <f t="shared" si="24"/>
        <v>6.7121982700697727</v>
      </c>
      <c r="H121" s="23"/>
    </row>
    <row r="122" spans="1:8" x14ac:dyDescent="0.2">
      <c r="A122" s="16" t="s">
        <v>56</v>
      </c>
      <c r="B122" s="17">
        <v>23</v>
      </c>
      <c r="C122" s="17">
        <v>29</v>
      </c>
      <c r="D122" s="17">
        <f t="shared" si="23"/>
        <v>26</v>
      </c>
      <c r="E122" s="16">
        <v>100</v>
      </c>
      <c r="F122" s="4">
        <f>1717.4-1657.2</f>
        <v>60.200000000000045</v>
      </c>
      <c r="G122" s="22">
        <f t="shared" si="24"/>
        <v>6.6353768567129929</v>
      </c>
      <c r="H122" s="23"/>
    </row>
    <row r="123" spans="1:8" x14ac:dyDescent="0.2">
      <c r="A123" s="16" t="s">
        <v>57</v>
      </c>
      <c r="B123" s="17">
        <v>28</v>
      </c>
      <c r="C123" s="17">
        <v>32</v>
      </c>
      <c r="D123" s="17">
        <f t="shared" si="23"/>
        <v>30</v>
      </c>
      <c r="E123" s="4">
        <v>100</v>
      </c>
      <c r="F123" s="4">
        <f>1972.1-1864.4</f>
        <v>107.69999999999982</v>
      </c>
      <c r="G123" s="22">
        <f t="shared" si="24"/>
        <v>6.444905551421682</v>
      </c>
      <c r="H123" s="23"/>
    </row>
    <row r="124" spans="1:8" x14ac:dyDescent="0.2">
      <c r="A124" s="31" t="s">
        <v>59</v>
      </c>
      <c r="B124" s="32">
        <v>9</v>
      </c>
      <c r="C124" s="32">
        <v>8</v>
      </c>
      <c r="D124" s="17">
        <f t="shared" si="23"/>
        <v>8.5</v>
      </c>
      <c r="E124" s="31">
        <v>100</v>
      </c>
      <c r="F124" s="31">
        <f>1805.4-1725.2</f>
        <v>80.200000000000045</v>
      </c>
      <c r="G124" s="22">
        <f t="shared" si="24"/>
        <v>6.0252445574301294</v>
      </c>
      <c r="H124" s="23"/>
    </row>
    <row r="125" spans="1:8" x14ac:dyDescent="0.2">
      <c r="A125" s="31" t="s">
        <v>60</v>
      </c>
      <c r="B125" s="32">
        <v>15</v>
      </c>
      <c r="C125" s="32">
        <v>10</v>
      </c>
      <c r="D125" s="17">
        <f t="shared" si="23"/>
        <v>12.5</v>
      </c>
      <c r="E125" s="31">
        <v>10</v>
      </c>
      <c r="F125" s="31">
        <f>1675.2-1650.8</f>
        <v>24.400000000000091</v>
      </c>
      <c r="G125" s="22">
        <f t="shared" si="24"/>
        <v>5.7095201866693257</v>
      </c>
      <c r="H125" s="23"/>
    </row>
    <row r="126" spans="1:8" x14ac:dyDescent="0.2">
      <c r="A126" s="31" t="s">
        <v>61</v>
      </c>
      <c r="B126" s="32">
        <v>5</v>
      </c>
      <c r="C126" s="32">
        <v>3</v>
      </c>
      <c r="D126" s="17">
        <f t="shared" si="23"/>
        <v>4</v>
      </c>
      <c r="E126" s="31">
        <v>1</v>
      </c>
      <c r="F126" s="31">
        <f>1656.8-1602.5</f>
        <v>54.299999999999955</v>
      </c>
      <c r="G126" s="22">
        <f t="shared" si="24"/>
        <v>3.8672601617391158</v>
      </c>
      <c r="H126" s="23"/>
    </row>
    <row r="127" spans="1:8" x14ac:dyDescent="0.2">
      <c r="A127" s="16" t="s">
        <v>63</v>
      </c>
      <c r="B127" s="32">
        <v>6</v>
      </c>
      <c r="C127" s="32">
        <v>12</v>
      </c>
      <c r="D127" s="17">
        <f t="shared" si="23"/>
        <v>9</v>
      </c>
      <c r="E127" s="4">
        <v>1</v>
      </c>
      <c r="F127" s="4">
        <f>1821.1-1730.1</f>
        <v>91</v>
      </c>
      <c r="G127" s="22">
        <f t="shared" si="24"/>
        <v>3.9952011171182313</v>
      </c>
      <c r="H127" s="23"/>
    </row>
    <row r="128" spans="1:8" x14ac:dyDescent="0.2">
      <c r="A128" s="16" t="s">
        <v>64</v>
      </c>
      <c r="B128" s="32">
        <v>23</v>
      </c>
      <c r="C128" s="32">
        <v>16</v>
      </c>
      <c r="D128" s="17">
        <f t="shared" si="23"/>
        <v>19.5</v>
      </c>
      <c r="E128" s="4">
        <v>1</v>
      </c>
      <c r="F128" s="4">
        <f>1798.7-1680.8</f>
        <v>117.90000000000009</v>
      </c>
      <c r="G128" s="22">
        <f t="shared" si="24"/>
        <v>4.2185208062674286</v>
      </c>
      <c r="H128" s="23"/>
    </row>
    <row r="129" spans="1:8" ht="51" x14ac:dyDescent="0.2">
      <c r="A129" s="30" t="s">
        <v>40</v>
      </c>
      <c r="B129" s="39" t="s">
        <v>0</v>
      </c>
      <c r="C129" s="39"/>
      <c r="D129" s="26" t="s">
        <v>1</v>
      </c>
      <c r="E129" s="26" t="s">
        <v>4</v>
      </c>
      <c r="F129" s="26" t="s">
        <v>2</v>
      </c>
      <c r="G129" s="21" t="s">
        <v>3</v>
      </c>
      <c r="H129" s="23"/>
    </row>
    <row r="130" spans="1:8" ht="20" customHeight="1" x14ac:dyDescent="0.2">
      <c r="A130" s="16" t="s">
        <v>17</v>
      </c>
      <c r="B130">
        <v>34</v>
      </c>
      <c r="C130">
        <v>29</v>
      </c>
      <c r="D130">
        <f>AVERAGE(B130:C130)</f>
        <v>31.5</v>
      </c>
      <c r="E130" s="4">
        <v>100</v>
      </c>
      <c r="F130" s="4">
        <f>1756.5-1731.8</f>
        <v>24.700000000000045</v>
      </c>
      <c r="G130" s="22">
        <f>LOG10(D130*100*E130/F130*1000)</f>
        <v>7.1056136005299342</v>
      </c>
      <c r="H130" s="21"/>
    </row>
    <row r="131" spans="1:8" x14ac:dyDescent="0.2">
      <c r="A131" s="16" t="s">
        <v>18</v>
      </c>
      <c r="B131" s="17">
        <v>2</v>
      </c>
      <c r="C131" s="17">
        <v>1</v>
      </c>
      <c r="D131" s="17">
        <f t="shared" ref="D131:D144" si="25">AVERAGE(B131:C131)</f>
        <v>1.5</v>
      </c>
      <c r="E131" s="16">
        <v>1000</v>
      </c>
      <c r="F131" s="16">
        <f>1857.7-1741.5</f>
        <v>116.20000000000005</v>
      </c>
      <c r="G131" s="22">
        <f>LOG10(D131*100*E131/F131*1000)</f>
        <v>6.1108851310013694</v>
      </c>
      <c r="H131" s="23"/>
    </row>
    <row r="132" spans="1:8" x14ac:dyDescent="0.2">
      <c r="A132" s="16" t="s">
        <v>19</v>
      </c>
      <c r="B132" s="17">
        <v>151</v>
      </c>
      <c r="C132" s="17">
        <v>123</v>
      </c>
      <c r="D132" s="17">
        <f t="shared" si="25"/>
        <v>137</v>
      </c>
      <c r="E132" s="16">
        <v>100</v>
      </c>
      <c r="F132" s="16">
        <f>1725.3-1703.1</f>
        <v>22.200000000000045</v>
      </c>
      <c r="G132" s="22">
        <f t="shared" ref="G132:G144" si="26">LOG10(D132*100*E132/F132*1000)</f>
        <v>7.790367592705767</v>
      </c>
      <c r="H132" s="23"/>
    </row>
    <row r="133" spans="1:8" x14ac:dyDescent="0.2">
      <c r="A133" s="16" t="s">
        <v>20</v>
      </c>
      <c r="B133" s="17">
        <v>26</v>
      </c>
      <c r="C133" s="17">
        <v>17</v>
      </c>
      <c r="D133" s="17">
        <f t="shared" si="25"/>
        <v>21.5</v>
      </c>
      <c r="E133" s="16">
        <v>100</v>
      </c>
      <c r="F133" s="16">
        <f>1719.1-1693.6</f>
        <v>25.5</v>
      </c>
      <c r="G133" s="22">
        <f t="shared" si="26"/>
        <v>6.9258982794816504</v>
      </c>
      <c r="H133" s="23"/>
    </row>
    <row r="134" spans="1:8" ht="17" x14ac:dyDescent="0.2">
      <c r="A134" s="27" t="s">
        <v>21</v>
      </c>
      <c r="B134" s="18">
        <v>200</v>
      </c>
      <c r="C134" s="18"/>
      <c r="D134" s="17">
        <f t="shared" si="25"/>
        <v>200</v>
      </c>
      <c r="E134" s="27">
        <v>100</v>
      </c>
      <c r="F134" s="27">
        <f>1684.6-1663.9</f>
        <v>20.699999999999818</v>
      </c>
      <c r="G134" s="22">
        <f t="shared" si="26"/>
        <v>7.9850596502070674</v>
      </c>
      <c r="H134" s="23"/>
    </row>
    <row r="135" spans="1:8" x14ac:dyDescent="0.2">
      <c r="A135" s="16" t="s">
        <v>16</v>
      </c>
      <c r="B135" s="17">
        <v>17</v>
      </c>
      <c r="C135" s="17">
        <v>13</v>
      </c>
      <c r="D135" s="17">
        <f t="shared" si="25"/>
        <v>15</v>
      </c>
      <c r="E135" s="16">
        <v>1000</v>
      </c>
      <c r="F135" s="16">
        <f>1759.8-1726.7</f>
        <v>33.099999999999909</v>
      </c>
      <c r="G135" s="22">
        <f t="shared" si="26"/>
        <v>7.6562632652799634</v>
      </c>
      <c r="H135" s="23"/>
    </row>
    <row r="136" spans="1:8" x14ac:dyDescent="0.2">
      <c r="A136" s="16" t="s">
        <v>14</v>
      </c>
      <c r="B136" s="17">
        <v>72</v>
      </c>
      <c r="C136" s="17">
        <v>71</v>
      </c>
      <c r="D136" s="17">
        <f t="shared" si="25"/>
        <v>71.5</v>
      </c>
      <c r="E136" s="16">
        <v>100</v>
      </c>
      <c r="F136" s="16">
        <f>1807.3-1795.7</f>
        <v>11.599999999999909</v>
      </c>
      <c r="G136" s="22">
        <f t="shared" si="26"/>
        <v>7.7898480525741656</v>
      </c>
      <c r="H136" s="23"/>
    </row>
    <row r="137" spans="1:8" x14ac:dyDescent="0.2">
      <c r="A137" s="16" t="s">
        <v>58</v>
      </c>
      <c r="B137" s="17">
        <v>27</v>
      </c>
      <c r="C137" s="17">
        <v>16</v>
      </c>
      <c r="D137" s="17">
        <f t="shared" si="25"/>
        <v>21.5</v>
      </c>
      <c r="E137" s="16">
        <v>100</v>
      </c>
      <c r="F137" s="16">
        <f>1727.5-1666.6</f>
        <v>60.900000000000091</v>
      </c>
      <c r="G137" s="22">
        <f t="shared" si="26"/>
        <v>6.5478211672827298</v>
      </c>
      <c r="H137" s="23"/>
    </row>
    <row r="138" spans="1:8" x14ac:dyDescent="0.2">
      <c r="A138" s="16" t="s">
        <v>56</v>
      </c>
      <c r="B138" s="17">
        <v>45</v>
      </c>
      <c r="C138" s="17">
        <v>34</v>
      </c>
      <c r="D138" s="17">
        <f t="shared" si="25"/>
        <v>39.5</v>
      </c>
      <c r="E138" s="16">
        <v>10</v>
      </c>
      <c r="F138" s="4">
        <f>1804.7-1749.5</f>
        <v>55.200000000000045</v>
      </c>
      <c r="G138" s="22">
        <f t="shared" si="26"/>
        <v>5.8546580178972611</v>
      </c>
      <c r="H138" s="23"/>
    </row>
    <row r="139" spans="1:8" x14ac:dyDescent="0.2">
      <c r="A139" s="16" t="s">
        <v>57</v>
      </c>
      <c r="B139" s="17">
        <v>22</v>
      </c>
      <c r="C139" s="17">
        <v>20</v>
      </c>
      <c r="D139" s="17">
        <f t="shared" si="25"/>
        <v>21</v>
      </c>
      <c r="E139" s="16">
        <v>10</v>
      </c>
      <c r="F139" s="4">
        <f>1702.1-1676.2</f>
        <v>25.899999999999864</v>
      </c>
      <c r="G139" s="22">
        <f t="shared" si="26"/>
        <v>5.9089195306526694</v>
      </c>
      <c r="H139" s="23"/>
    </row>
    <row r="140" spans="1:8" x14ac:dyDescent="0.2">
      <c r="A140" s="31" t="s">
        <v>59</v>
      </c>
      <c r="B140" s="32">
        <v>2</v>
      </c>
      <c r="C140" s="32">
        <v>3</v>
      </c>
      <c r="D140" s="17">
        <f t="shared" si="25"/>
        <v>2.5</v>
      </c>
      <c r="E140" s="31">
        <v>1</v>
      </c>
      <c r="F140" s="31">
        <f>1729.1-1683.4</f>
        <v>45.699999999999818</v>
      </c>
      <c r="G140" s="22">
        <f t="shared" si="26"/>
        <v>3.7380238086021893</v>
      </c>
      <c r="H140" s="23"/>
    </row>
    <row r="141" spans="1:8" x14ac:dyDescent="0.2">
      <c r="A141" s="31" t="s">
        <v>60</v>
      </c>
      <c r="B141" s="32">
        <v>2</v>
      </c>
      <c r="C141" s="32">
        <v>0</v>
      </c>
      <c r="D141" s="17">
        <f t="shared" si="25"/>
        <v>1</v>
      </c>
      <c r="E141" s="31">
        <v>1</v>
      </c>
      <c r="F141" s="31">
        <f>1829.5-1783.4</f>
        <v>46.099999999999909</v>
      </c>
      <c r="G141" s="22">
        <f t="shared" si="26"/>
        <v>3.3362990746103525</v>
      </c>
      <c r="H141" s="23"/>
    </row>
    <row r="142" spans="1:8" x14ac:dyDescent="0.2">
      <c r="A142" s="31" t="s">
        <v>61</v>
      </c>
      <c r="B142" s="32">
        <v>0</v>
      </c>
      <c r="C142" s="32">
        <v>1</v>
      </c>
      <c r="D142" s="17">
        <f t="shared" si="25"/>
        <v>0.5</v>
      </c>
      <c r="E142" s="31">
        <v>1</v>
      </c>
      <c r="F142" s="31">
        <f>1827.7-1758.7</f>
        <v>69</v>
      </c>
      <c r="G142" s="22">
        <f t="shared" si="26"/>
        <v>2.8601209135987635</v>
      </c>
      <c r="H142" s="23"/>
    </row>
    <row r="143" spans="1:8" x14ac:dyDescent="0.2">
      <c r="A143" s="16" t="s">
        <v>63</v>
      </c>
      <c r="B143" s="32">
        <v>0</v>
      </c>
      <c r="C143" s="32">
        <v>0</v>
      </c>
      <c r="D143" s="17">
        <f t="shared" si="25"/>
        <v>0</v>
      </c>
      <c r="E143" s="16">
        <v>1</v>
      </c>
      <c r="F143" s="4">
        <f>1721.4-1682.8</f>
        <v>38.600000000000136</v>
      </c>
      <c r="G143" s="22" t="e">
        <f t="shared" si="26"/>
        <v>#NUM!</v>
      </c>
      <c r="H143" s="23"/>
    </row>
    <row r="144" spans="1:8" x14ac:dyDescent="0.2">
      <c r="A144" s="16" t="s">
        <v>64</v>
      </c>
      <c r="B144" s="32">
        <v>2</v>
      </c>
      <c r="C144" s="32">
        <v>3</v>
      </c>
      <c r="D144" s="17">
        <f t="shared" si="25"/>
        <v>2.5</v>
      </c>
      <c r="E144" s="4">
        <v>1</v>
      </c>
      <c r="F144" s="4">
        <f>1679.2-1640.3</f>
        <v>38.900000000000091</v>
      </c>
      <c r="G144" s="22">
        <f t="shared" si="26"/>
        <v>3.8079904073463289</v>
      </c>
      <c r="H144" s="23"/>
    </row>
    <row r="145" spans="1:8" ht="51" x14ac:dyDescent="0.2">
      <c r="A145" s="30" t="s">
        <v>41</v>
      </c>
      <c r="B145" s="39" t="s">
        <v>0</v>
      </c>
      <c r="C145" s="39"/>
      <c r="D145" s="26" t="s">
        <v>1</v>
      </c>
      <c r="E145" s="26" t="s">
        <v>4</v>
      </c>
      <c r="F145" s="26" t="s">
        <v>2</v>
      </c>
      <c r="G145" s="21" t="s">
        <v>3</v>
      </c>
      <c r="H145" s="23"/>
    </row>
    <row r="146" spans="1:8" x14ac:dyDescent="0.2">
      <c r="A146" s="16" t="s">
        <v>17</v>
      </c>
      <c r="B146" s="17">
        <v>96</v>
      </c>
      <c r="C146">
        <v>96</v>
      </c>
      <c r="D146">
        <f>AVERAGE(B146:C146)</f>
        <v>96</v>
      </c>
      <c r="E146" s="4">
        <v>100</v>
      </c>
      <c r="F146" s="4">
        <f>1841.4-1827.3</f>
        <v>14.100000000000136</v>
      </c>
      <c r="G146" s="22">
        <f t="shared" ref="G146:G152" si="27">LOG10(D146*100*E146/F146*1000)</f>
        <v>7.8330521203841847</v>
      </c>
      <c r="H146" s="23"/>
    </row>
    <row r="147" spans="1:8" x14ac:dyDescent="0.2">
      <c r="A147" s="16" t="s">
        <v>18</v>
      </c>
      <c r="B147">
        <v>2</v>
      </c>
      <c r="C147" s="17">
        <v>2</v>
      </c>
      <c r="D147" s="17">
        <f t="shared" ref="D147:D160" si="28">AVERAGE(B147:C147)</f>
        <v>2</v>
      </c>
      <c r="E147" s="16">
        <v>1000</v>
      </c>
      <c r="F147" s="16">
        <f>1708.3-1676.6</f>
        <v>31.700000000000045</v>
      </c>
      <c r="G147" s="22">
        <f t="shared" si="27"/>
        <v>6.7999707334462292</v>
      </c>
      <c r="H147" s="23"/>
    </row>
    <row r="148" spans="1:8" x14ac:dyDescent="0.2">
      <c r="A148" s="16" t="s">
        <v>19</v>
      </c>
      <c r="B148" s="17">
        <v>200</v>
      </c>
      <c r="C148" s="17"/>
      <c r="D148" s="17">
        <f t="shared" si="28"/>
        <v>200</v>
      </c>
      <c r="E148" s="16">
        <v>100</v>
      </c>
      <c r="F148" s="16">
        <f>1753-1725.1</f>
        <v>27.900000000000091</v>
      </c>
      <c r="G148" s="22">
        <f t="shared" si="27"/>
        <v>7.8554257923903821</v>
      </c>
      <c r="H148" s="23"/>
    </row>
    <row r="149" spans="1:8" x14ac:dyDescent="0.2">
      <c r="A149" s="16" t="s">
        <v>20</v>
      </c>
      <c r="B149" s="17">
        <v>8</v>
      </c>
      <c r="C149" s="17">
        <v>20</v>
      </c>
      <c r="D149" s="17">
        <f t="shared" si="28"/>
        <v>14</v>
      </c>
      <c r="E149" s="4">
        <v>100</v>
      </c>
      <c r="F149" s="16">
        <f>1630.8-1597.5</f>
        <v>33.299999999999955</v>
      </c>
      <c r="G149" s="22">
        <f t="shared" si="27"/>
        <v>6.6236838021719189</v>
      </c>
      <c r="H149" s="23"/>
    </row>
    <row r="150" spans="1:8" ht="17" x14ac:dyDescent="0.2">
      <c r="A150" s="27" t="s">
        <v>21</v>
      </c>
      <c r="B150" s="18">
        <v>22</v>
      </c>
      <c r="C150" s="18">
        <v>20</v>
      </c>
      <c r="D150" s="17">
        <f t="shared" si="28"/>
        <v>21</v>
      </c>
      <c r="E150" s="16">
        <v>1000</v>
      </c>
      <c r="F150" s="27">
        <f>1850.6-1790.5</f>
        <v>60.099999999999909</v>
      </c>
      <c r="G150" s="22">
        <f t="shared" si="27"/>
        <v>7.5433448227311803</v>
      </c>
      <c r="H150" s="23"/>
    </row>
    <row r="151" spans="1:8" x14ac:dyDescent="0.2">
      <c r="A151" s="16" t="s">
        <v>16</v>
      </c>
      <c r="B151" s="17">
        <v>82</v>
      </c>
      <c r="C151" s="17">
        <v>80</v>
      </c>
      <c r="D151" s="17">
        <f t="shared" si="28"/>
        <v>81</v>
      </c>
      <c r="E151" s="16">
        <v>1000</v>
      </c>
      <c r="F151" s="16">
        <f>1736.3-1669.4</f>
        <v>66.899999999999864</v>
      </c>
      <c r="G151" s="22">
        <f t="shared" si="27"/>
        <v>8.083058901110828</v>
      </c>
      <c r="H151" s="23"/>
    </row>
    <row r="152" spans="1:8" x14ac:dyDescent="0.2">
      <c r="A152" s="16" t="s">
        <v>14</v>
      </c>
      <c r="B152" s="17">
        <v>10</v>
      </c>
      <c r="C152" s="17">
        <v>6</v>
      </c>
      <c r="D152" s="17">
        <f t="shared" si="28"/>
        <v>8</v>
      </c>
      <c r="E152" s="16">
        <v>1000</v>
      </c>
      <c r="F152" s="16">
        <f>1691.1-1659.7</f>
        <v>31.399999999999864</v>
      </c>
      <c r="G152" s="22">
        <f t="shared" si="27"/>
        <v>7.4061603389187303</v>
      </c>
      <c r="H152" s="23"/>
    </row>
    <row r="153" spans="1:8" x14ac:dyDescent="0.2">
      <c r="A153" s="16" t="s">
        <v>53</v>
      </c>
      <c r="B153" s="17">
        <v>32</v>
      </c>
      <c r="C153" s="17">
        <v>37</v>
      </c>
      <c r="D153" s="17">
        <f t="shared" si="28"/>
        <v>34.5</v>
      </c>
      <c r="E153" s="16">
        <v>100</v>
      </c>
      <c r="F153" s="16">
        <f>1851.8-1795.6</f>
        <v>56.200000000000045</v>
      </c>
      <c r="G153" s="22">
        <f t="shared" ref="G153:G160" si="29">LOG10(D153*100*E153/F153*1000)</f>
        <v>6.7880827795042125</v>
      </c>
      <c r="H153" s="23"/>
    </row>
    <row r="154" spans="1:8" x14ac:dyDescent="0.2">
      <c r="A154" s="16" t="s">
        <v>56</v>
      </c>
      <c r="B154" s="17">
        <v>5</v>
      </c>
      <c r="C154" s="17">
        <v>7</v>
      </c>
      <c r="D154" s="17">
        <f t="shared" si="28"/>
        <v>6</v>
      </c>
      <c r="E154" s="16">
        <v>10</v>
      </c>
      <c r="F154" s="4">
        <f>1799.1-1751.9</f>
        <v>47.199999999999818</v>
      </c>
      <c r="G154" s="22">
        <f t="shared" si="29"/>
        <v>5.1042092517495572</v>
      </c>
      <c r="H154" s="23"/>
    </row>
    <row r="155" spans="1:8" x14ac:dyDescent="0.2">
      <c r="A155" s="16" t="s">
        <v>57</v>
      </c>
      <c r="B155" s="17">
        <v>4</v>
      </c>
      <c r="C155" s="17">
        <v>6</v>
      </c>
      <c r="D155" s="17">
        <f t="shared" si="28"/>
        <v>5</v>
      </c>
      <c r="E155" s="16">
        <v>10</v>
      </c>
      <c r="F155" s="4">
        <f>1741.3-1688.3</f>
        <v>53</v>
      </c>
      <c r="G155" s="22">
        <f t="shared" si="29"/>
        <v>4.9746941347352296</v>
      </c>
      <c r="H155" s="23"/>
    </row>
    <row r="156" spans="1:8" x14ac:dyDescent="0.2">
      <c r="A156" s="31" t="s">
        <v>59</v>
      </c>
      <c r="B156" s="32">
        <v>4</v>
      </c>
      <c r="C156" s="32">
        <v>3</v>
      </c>
      <c r="D156" s="17">
        <f t="shared" si="28"/>
        <v>3.5</v>
      </c>
      <c r="E156" s="31">
        <v>10</v>
      </c>
      <c r="F156" s="31">
        <f>1804.2-1774.2</f>
        <v>30</v>
      </c>
      <c r="G156" s="22">
        <f t="shared" si="29"/>
        <v>5.0669467896306131</v>
      </c>
      <c r="H156" s="23"/>
    </row>
    <row r="157" spans="1:8" x14ac:dyDescent="0.2">
      <c r="A157" s="31" t="s">
        <v>60</v>
      </c>
      <c r="B157" s="32">
        <v>2</v>
      </c>
      <c r="C157" s="32">
        <v>3</v>
      </c>
      <c r="D157" s="17">
        <f t="shared" si="28"/>
        <v>2.5</v>
      </c>
      <c r="E157" s="31">
        <v>1</v>
      </c>
      <c r="F157" s="31">
        <f>1647.6-1585</f>
        <v>62.599999999999909</v>
      </c>
      <c r="G157" s="22">
        <f t="shared" si="29"/>
        <v>3.6013656754616084</v>
      </c>
      <c r="H157" s="23"/>
    </row>
    <row r="158" spans="1:8" x14ac:dyDescent="0.2">
      <c r="A158" s="31" t="s">
        <v>61</v>
      </c>
      <c r="B158" s="32">
        <v>0</v>
      </c>
      <c r="C158" s="32">
        <v>0</v>
      </c>
      <c r="D158" s="17">
        <f t="shared" si="28"/>
        <v>0</v>
      </c>
      <c r="E158" s="31">
        <v>1</v>
      </c>
      <c r="F158" s="31">
        <f>1785.3-1687.6</f>
        <v>97.700000000000045</v>
      </c>
      <c r="G158" s="22" t="e">
        <f t="shared" si="29"/>
        <v>#NUM!</v>
      </c>
      <c r="H158" s="23"/>
    </row>
    <row r="159" spans="1:8" x14ac:dyDescent="0.2">
      <c r="A159" s="16" t="s">
        <v>63</v>
      </c>
      <c r="B159" s="32">
        <v>0</v>
      </c>
      <c r="C159" s="32">
        <v>0</v>
      </c>
      <c r="D159" s="17">
        <f t="shared" si="28"/>
        <v>0</v>
      </c>
      <c r="E159" s="16">
        <v>1</v>
      </c>
      <c r="F159" s="4">
        <f>1814.6-1781.9</f>
        <v>32.699999999999818</v>
      </c>
      <c r="G159" s="22" t="e">
        <f t="shared" si="29"/>
        <v>#NUM!</v>
      </c>
      <c r="H159" s="23"/>
    </row>
    <row r="160" spans="1:8" x14ac:dyDescent="0.2">
      <c r="A160" s="16" t="s">
        <v>64</v>
      </c>
      <c r="B160" s="32">
        <v>0</v>
      </c>
      <c r="C160" s="32">
        <v>0</v>
      </c>
      <c r="D160" s="17">
        <f t="shared" si="28"/>
        <v>0</v>
      </c>
      <c r="E160" s="4">
        <v>1</v>
      </c>
      <c r="F160" s="4">
        <f>1894.1-1726.2</f>
        <v>167.89999999999986</v>
      </c>
      <c r="G160" s="22" t="e">
        <f t="shared" si="29"/>
        <v>#NUM!</v>
      </c>
      <c r="H160" s="23"/>
    </row>
    <row r="161" spans="1:8" ht="51" x14ac:dyDescent="0.2">
      <c r="A161" s="2" t="s">
        <v>42</v>
      </c>
      <c r="B161" s="39" t="s">
        <v>0</v>
      </c>
      <c r="C161" s="39"/>
      <c r="D161" s="29" t="s">
        <v>1</v>
      </c>
      <c r="E161" s="29" t="s">
        <v>4</v>
      </c>
      <c r="F161" s="29" t="s">
        <v>2</v>
      </c>
      <c r="G161" s="21" t="s">
        <v>3</v>
      </c>
      <c r="H161" s="23"/>
    </row>
    <row r="162" spans="1:8" x14ac:dyDescent="0.2">
      <c r="A162" s="16" t="s">
        <v>17</v>
      </c>
      <c r="B162">
        <v>0</v>
      </c>
      <c r="C162">
        <v>0</v>
      </c>
      <c r="D162">
        <f>AVERAGE(B162:C162)</f>
        <v>0</v>
      </c>
      <c r="E162" s="4">
        <v>1</v>
      </c>
      <c r="F162" s="4">
        <f>1694.5-1679.1</f>
        <v>15.400000000000091</v>
      </c>
      <c r="G162" s="22" t="e">
        <f>LOG10(D162*100*E162/F162*1000)</f>
        <v>#NUM!</v>
      </c>
      <c r="H162" s="23"/>
    </row>
    <row r="163" spans="1:8" x14ac:dyDescent="0.2">
      <c r="A163" s="16" t="s">
        <v>18</v>
      </c>
      <c r="B163" s="17">
        <v>0</v>
      </c>
      <c r="C163" s="17">
        <v>0</v>
      </c>
      <c r="D163" s="17">
        <f t="shared" ref="D163:D174" si="30">AVERAGE(B163:C163)</f>
        <v>0</v>
      </c>
      <c r="E163" s="16">
        <v>1</v>
      </c>
      <c r="F163" s="16">
        <f>1927.7-1818</f>
        <v>109.70000000000005</v>
      </c>
      <c r="G163" s="22" t="e">
        <f>LOG10(D163*100*E163/F163*1000)</f>
        <v>#NUM!</v>
      </c>
      <c r="H163" s="21"/>
    </row>
    <row r="164" spans="1:8" x14ac:dyDescent="0.2">
      <c r="A164" s="16" t="s">
        <v>19</v>
      </c>
      <c r="B164" s="17">
        <v>0</v>
      </c>
      <c r="C164" s="17">
        <v>0</v>
      </c>
      <c r="D164" s="17">
        <f t="shared" si="30"/>
        <v>0</v>
      </c>
      <c r="E164" s="16">
        <v>1</v>
      </c>
      <c r="F164" s="16">
        <f>1846-1826.7</f>
        <v>19.299999999999955</v>
      </c>
      <c r="G164" s="22" t="e">
        <f t="shared" ref="G164:G176" si="31">LOG10(D164*100*E164/F164*1000)</f>
        <v>#NUM!</v>
      </c>
      <c r="H164" s="23"/>
    </row>
    <row r="165" spans="1:8" x14ac:dyDescent="0.2">
      <c r="A165" s="16" t="s">
        <v>23</v>
      </c>
      <c r="B165" s="17">
        <v>0</v>
      </c>
      <c r="C165" s="17">
        <v>0</v>
      </c>
      <c r="D165" s="17">
        <f t="shared" si="30"/>
        <v>0</v>
      </c>
      <c r="E165" s="16">
        <v>1</v>
      </c>
      <c r="F165" s="16">
        <f>1780.8-1734.7</f>
        <v>46.099999999999909</v>
      </c>
      <c r="G165" s="22" t="e">
        <f t="shared" si="31"/>
        <v>#NUM!</v>
      </c>
      <c r="H165" s="23"/>
    </row>
    <row r="166" spans="1:8" ht="17" x14ac:dyDescent="0.2">
      <c r="A166" s="27" t="s">
        <v>21</v>
      </c>
      <c r="B166" s="18">
        <v>0</v>
      </c>
      <c r="C166" s="18">
        <v>0</v>
      </c>
      <c r="D166" s="17">
        <f t="shared" si="30"/>
        <v>0</v>
      </c>
      <c r="E166" s="27">
        <v>1</v>
      </c>
      <c r="F166" s="27">
        <f>1846.3-1812.6</f>
        <v>33.700000000000045</v>
      </c>
      <c r="G166" s="22" t="e">
        <f t="shared" si="31"/>
        <v>#NUM!</v>
      </c>
      <c r="H166" s="23"/>
    </row>
    <row r="167" spans="1:8" x14ac:dyDescent="0.2">
      <c r="A167" s="16" t="s">
        <v>16</v>
      </c>
      <c r="B167" s="17">
        <v>0</v>
      </c>
      <c r="C167" s="17">
        <v>0</v>
      </c>
      <c r="D167" s="17">
        <f t="shared" si="30"/>
        <v>0</v>
      </c>
      <c r="E167" s="16">
        <v>1</v>
      </c>
      <c r="F167" s="16">
        <f>1697.5-1647</f>
        <v>50.5</v>
      </c>
      <c r="G167" s="22" t="e">
        <f t="shared" si="31"/>
        <v>#NUM!</v>
      </c>
      <c r="H167" s="23"/>
    </row>
    <row r="168" spans="1:8" x14ac:dyDescent="0.2">
      <c r="A168" s="16" t="s">
        <v>14</v>
      </c>
      <c r="B168" s="17">
        <v>0</v>
      </c>
      <c r="C168" s="17">
        <v>0</v>
      </c>
      <c r="D168" s="17">
        <f t="shared" si="30"/>
        <v>0</v>
      </c>
      <c r="E168" s="16">
        <v>1</v>
      </c>
      <c r="F168" s="16">
        <f>1861.2-1787</f>
        <v>74.200000000000045</v>
      </c>
      <c r="G168" s="22" t="e">
        <f t="shared" si="31"/>
        <v>#NUM!</v>
      </c>
      <c r="H168" s="23"/>
    </row>
    <row r="169" spans="1:8" x14ac:dyDescent="0.2">
      <c r="A169" s="16" t="s">
        <v>53</v>
      </c>
      <c r="B169" s="17">
        <v>0</v>
      </c>
      <c r="C169" s="17">
        <v>0</v>
      </c>
      <c r="D169" s="17">
        <f t="shared" si="30"/>
        <v>0</v>
      </c>
      <c r="E169" s="16">
        <v>1</v>
      </c>
      <c r="F169" s="16">
        <f>1800.8-1778.9</f>
        <v>21.899999999999864</v>
      </c>
      <c r="G169" s="22" t="e">
        <f t="shared" si="31"/>
        <v>#NUM!</v>
      </c>
      <c r="H169" s="23"/>
    </row>
    <row r="170" spans="1:8" x14ac:dyDescent="0.2">
      <c r="A170" s="16" t="s">
        <v>56</v>
      </c>
      <c r="B170" s="17">
        <v>0</v>
      </c>
      <c r="C170" s="17">
        <v>0</v>
      </c>
      <c r="D170" s="17">
        <f t="shared" si="30"/>
        <v>0</v>
      </c>
      <c r="E170" s="16">
        <v>1</v>
      </c>
      <c r="F170" s="4">
        <f>1860.5-1787.5</f>
        <v>73</v>
      </c>
      <c r="G170" s="22" t="e">
        <f t="shared" si="31"/>
        <v>#NUM!</v>
      </c>
      <c r="H170" s="23"/>
    </row>
    <row r="171" spans="1:8" x14ac:dyDescent="0.2">
      <c r="A171" s="16" t="s">
        <v>57</v>
      </c>
      <c r="B171" s="17">
        <v>0</v>
      </c>
      <c r="C171" s="17">
        <v>0</v>
      </c>
      <c r="D171" s="17">
        <f t="shared" si="30"/>
        <v>0</v>
      </c>
      <c r="E171" s="16">
        <v>1</v>
      </c>
      <c r="F171" s="4">
        <f>1672.9-1641.3</f>
        <v>31.600000000000136</v>
      </c>
      <c r="G171" s="22" t="e">
        <f t="shared" si="31"/>
        <v>#NUM!</v>
      </c>
      <c r="H171" s="23"/>
    </row>
    <row r="172" spans="1:8" x14ac:dyDescent="0.2">
      <c r="A172" s="31" t="s">
        <v>59</v>
      </c>
      <c r="B172" s="32">
        <v>0</v>
      </c>
      <c r="C172" s="32">
        <v>0</v>
      </c>
      <c r="D172" s="17">
        <f t="shared" si="30"/>
        <v>0</v>
      </c>
      <c r="E172" s="31">
        <v>1</v>
      </c>
      <c r="F172" s="31">
        <f>1735.9-1716.3</f>
        <v>19.600000000000136</v>
      </c>
      <c r="G172" s="22" t="e">
        <f t="shared" si="31"/>
        <v>#NUM!</v>
      </c>
      <c r="H172" s="23"/>
    </row>
    <row r="173" spans="1:8" x14ac:dyDescent="0.2">
      <c r="A173" s="31" t="s">
        <v>60</v>
      </c>
      <c r="B173" s="32">
        <v>0</v>
      </c>
      <c r="C173" s="32"/>
      <c r="D173" s="17">
        <f t="shared" si="30"/>
        <v>0</v>
      </c>
      <c r="E173" s="31">
        <v>1</v>
      </c>
      <c r="F173" s="31">
        <f>1728.2-1671.6</f>
        <v>56.600000000000136</v>
      </c>
      <c r="G173" s="22" t="e">
        <f t="shared" si="31"/>
        <v>#NUM!</v>
      </c>
      <c r="H173" s="23"/>
    </row>
    <row r="174" spans="1:8" x14ac:dyDescent="0.2">
      <c r="A174" s="31" t="s">
        <v>61</v>
      </c>
      <c r="B174" s="32">
        <v>0</v>
      </c>
      <c r="C174" s="32"/>
      <c r="D174" s="17">
        <f t="shared" si="30"/>
        <v>0</v>
      </c>
      <c r="E174" s="31">
        <v>1</v>
      </c>
      <c r="F174" s="31">
        <f>1665.8-1631.7</f>
        <v>34.099999999999909</v>
      </c>
      <c r="G174" s="22" t="e">
        <f t="shared" si="31"/>
        <v>#NUM!</v>
      </c>
      <c r="H174" s="23"/>
    </row>
    <row r="175" spans="1:8" x14ac:dyDescent="0.2">
      <c r="A175" s="16" t="s">
        <v>63</v>
      </c>
      <c r="B175" s="32">
        <v>0</v>
      </c>
      <c r="C175" s="17"/>
      <c r="D175" s="17"/>
      <c r="E175" s="16">
        <v>1</v>
      </c>
      <c r="F175" s="4">
        <f>1944.6-1729.4</f>
        <v>215.19999999999982</v>
      </c>
      <c r="G175" s="22" t="e">
        <f t="shared" si="31"/>
        <v>#NUM!</v>
      </c>
      <c r="H175" s="23"/>
    </row>
    <row r="176" spans="1:8" ht="17" x14ac:dyDescent="0.2">
      <c r="A176" s="27" t="s">
        <v>64</v>
      </c>
      <c r="B176" s="19">
        <v>0</v>
      </c>
      <c r="C176" s="19"/>
      <c r="D176" s="29"/>
      <c r="E176" s="29">
        <v>1</v>
      </c>
      <c r="F176" s="29">
        <f>1830.2-1692</f>
        <v>138.20000000000005</v>
      </c>
      <c r="G176" s="22" t="e">
        <f t="shared" si="31"/>
        <v>#NUM!</v>
      </c>
      <c r="H176" s="23"/>
    </row>
    <row r="177" spans="1:8" ht="51" x14ac:dyDescent="0.2">
      <c r="A177" s="2" t="s">
        <v>43</v>
      </c>
      <c r="B177" s="39" t="s">
        <v>0</v>
      </c>
      <c r="C177" s="39"/>
      <c r="D177" s="29" t="s">
        <v>1</v>
      </c>
      <c r="E177" s="29" t="s">
        <v>4</v>
      </c>
      <c r="F177" s="29" t="s">
        <v>2</v>
      </c>
      <c r="G177" s="21" t="s">
        <v>3</v>
      </c>
      <c r="H177" s="23"/>
    </row>
    <row r="178" spans="1:8" x14ac:dyDescent="0.2">
      <c r="A178" s="16" t="s">
        <v>17</v>
      </c>
      <c r="B178">
        <v>0</v>
      </c>
      <c r="C178">
        <v>0</v>
      </c>
      <c r="D178">
        <f>AVERAGE(B178:C178)</f>
        <v>0</v>
      </c>
      <c r="E178" s="4">
        <v>1</v>
      </c>
      <c r="F178" s="4">
        <f>1827-1806.9</f>
        <v>20.099999999999909</v>
      </c>
      <c r="G178" s="22" t="e">
        <f>LOG10(D178*100*E178/F178*1000)</f>
        <v>#NUM!</v>
      </c>
      <c r="H178" s="23"/>
    </row>
    <row r="179" spans="1:8" x14ac:dyDescent="0.2">
      <c r="A179" s="16" t="s">
        <v>18</v>
      </c>
      <c r="B179" s="17">
        <v>0</v>
      </c>
      <c r="C179" s="17">
        <v>0</v>
      </c>
      <c r="D179" s="17">
        <f t="shared" ref="D179:D192" si="32">AVERAGE(B179:C179)</f>
        <v>0</v>
      </c>
      <c r="E179" s="16">
        <v>1</v>
      </c>
      <c r="F179" s="16">
        <f>1849-1809.1</f>
        <v>39.900000000000091</v>
      </c>
      <c r="G179" s="22" t="e">
        <f>LOG10(D179*100*E179/F179*1000)</f>
        <v>#NUM!</v>
      </c>
      <c r="H179" s="23"/>
    </row>
    <row r="180" spans="1:8" x14ac:dyDescent="0.2">
      <c r="A180" s="16" t="s">
        <v>22</v>
      </c>
      <c r="B180" s="17">
        <v>0</v>
      </c>
      <c r="C180" s="17">
        <v>0</v>
      </c>
      <c r="D180" s="17">
        <f t="shared" si="32"/>
        <v>0</v>
      </c>
      <c r="E180" s="16">
        <v>1</v>
      </c>
      <c r="F180" s="16">
        <f>1846-1799.4</f>
        <v>46.599999999999909</v>
      </c>
      <c r="G180" s="22" t="e">
        <f t="shared" ref="G180:G192" si="33">LOG10(D180*100*E180/F180*1000)</f>
        <v>#NUM!</v>
      </c>
      <c r="H180" s="23"/>
    </row>
    <row r="181" spans="1:8" x14ac:dyDescent="0.2">
      <c r="A181" s="16" t="s">
        <v>23</v>
      </c>
      <c r="B181" s="17">
        <v>0</v>
      </c>
      <c r="C181" s="17">
        <v>0</v>
      </c>
      <c r="D181" s="17">
        <f t="shared" si="32"/>
        <v>0</v>
      </c>
      <c r="E181" s="16">
        <v>1</v>
      </c>
      <c r="F181" s="16">
        <f>1747.7-1689.5</f>
        <v>58.200000000000045</v>
      </c>
      <c r="G181" s="22" t="e">
        <f t="shared" si="33"/>
        <v>#NUM!</v>
      </c>
      <c r="H181" s="23"/>
    </row>
    <row r="182" spans="1:8" ht="17" x14ac:dyDescent="0.2">
      <c r="A182" s="27" t="s">
        <v>21</v>
      </c>
      <c r="B182" s="18">
        <v>0</v>
      </c>
      <c r="C182" s="18">
        <v>0</v>
      </c>
      <c r="D182" s="17">
        <f t="shared" si="32"/>
        <v>0</v>
      </c>
      <c r="E182" s="27">
        <v>1</v>
      </c>
      <c r="F182" s="27">
        <f>1713.7-1676.9</f>
        <v>36.799999999999955</v>
      </c>
      <c r="G182" s="22" t="e">
        <f t="shared" si="33"/>
        <v>#NUM!</v>
      </c>
      <c r="H182" s="23"/>
    </row>
    <row r="183" spans="1:8" x14ac:dyDescent="0.2">
      <c r="A183" s="16" t="s">
        <v>16</v>
      </c>
      <c r="B183" s="17">
        <v>0</v>
      </c>
      <c r="C183" s="17">
        <v>0</v>
      </c>
      <c r="D183" s="17">
        <f t="shared" si="32"/>
        <v>0</v>
      </c>
      <c r="E183" s="16">
        <v>1</v>
      </c>
      <c r="F183" s="16">
        <f>1784.4-1745.1</f>
        <v>39.300000000000182</v>
      </c>
      <c r="G183" s="22" t="e">
        <f t="shared" si="33"/>
        <v>#NUM!</v>
      </c>
      <c r="H183" s="23"/>
    </row>
    <row r="184" spans="1:8" x14ac:dyDescent="0.2">
      <c r="A184" s="16" t="s">
        <v>14</v>
      </c>
      <c r="B184" s="17">
        <v>0</v>
      </c>
      <c r="C184" s="17">
        <v>0</v>
      </c>
      <c r="D184" s="17">
        <f t="shared" si="32"/>
        <v>0</v>
      </c>
      <c r="E184" s="16">
        <v>1</v>
      </c>
      <c r="F184" s="16">
        <f>1684.2-1619</f>
        <v>65.200000000000045</v>
      </c>
      <c r="G184" s="22" t="e">
        <f t="shared" si="33"/>
        <v>#NUM!</v>
      </c>
      <c r="H184" s="23"/>
    </row>
    <row r="185" spans="1:8" x14ac:dyDescent="0.2">
      <c r="A185" s="16" t="s">
        <v>58</v>
      </c>
      <c r="B185" s="17">
        <v>0</v>
      </c>
      <c r="C185" s="17">
        <v>0</v>
      </c>
      <c r="D185" s="17">
        <f t="shared" si="32"/>
        <v>0</v>
      </c>
      <c r="E185" s="16">
        <v>1</v>
      </c>
      <c r="F185" s="16">
        <f>1702.8-1653.8</f>
        <v>49</v>
      </c>
      <c r="G185" s="22" t="e">
        <f t="shared" si="33"/>
        <v>#NUM!</v>
      </c>
      <c r="H185" s="23"/>
    </row>
    <row r="186" spans="1:8" x14ac:dyDescent="0.2">
      <c r="A186" s="16" t="s">
        <v>56</v>
      </c>
      <c r="B186" s="17">
        <v>0</v>
      </c>
      <c r="C186" s="17">
        <v>0</v>
      </c>
      <c r="D186" s="17">
        <f t="shared" si="32"/>
        <v>0</v>
      </c>
      <c r="E186" s="16">
        <v>1</v>
      </c>
      <c r="F186" s="16">
        <f>1718.4-1665.8</f>
        <v>52.600000000000136</v>
      </c>
      <c r="G186" s="22" t="e">
        <f t="shared" si="33"/>
        <v>#NUM!</v>
      </c>
      <c r="H186" s="23"/>
    </row>
    <row r="187" spans="1:8" ht="17" x14ac:dyDescent="0.2">
      <c r="A187" s="27" t="s">
        <v>57</v>
      </c>
      <c r="B187" s="17">
        <v>0</v>
      </c>
      <c r="C187" s="19">
        <v>0</v>
      </c>
      <c r="D187" s="17">
        <f t="shared" si="32"/>
        <v>0</v>
      </c>
      <c r="E187" s="29">
        <v>1</v>
      </c>
      <c r="F187" s="29">
        <f>1752-1700</f>
        <v>52</v>
      </c>
      <c r="G187" s="22" t="e">
        <f t="shared" si="33"/>
        <v>#NUM!</v>
      </c>
      <c r="H187" s="23"/>
    </row>
    <row r="188" spans="1:8" x14ac:dyDescent="0.2">
      <c r="A188" s="31" t="s">
        <v>59</v>
      </c>
      <c r="B188" s="32">
        <v>0</v>
      </c>
      <c r="C188" s="32">
        <v>0</v>
      </c>
      <c r="D188" s="17">
        <f t="shared" si="32"/>
        <v>0</v>
      </c>
      <c r="E188" s="31">
        <v>1</v>
      </c>
      <c r="F188" s="31">
        <f>1748.3-1702.9</f>
        <v>45.399999999999864</v>
      </c>
      <c r="G188" s="22" t="e">
        <f t="shared" si="33"/>
        <v>#NUM!</v>
      </c>
      <c r="H188" s="23"/>
    </row>
    <row r="189" spans="1:8" x14ac:dyDescent="0.2">
      <c r="A189" s="31" t="s">
        <v>60</v>
      </c>
      <c r="B189" s="32">
        <v>0</v>
      </c>
      <c r="C189" s="32"/>
      <c r="D189" s="17">
        <f t="shared" si="32"/>
        <v>0</v>
      </c>
      <c r="E189" s="31">
        <v>1</v>
      </c>
      <c r="F189" s="31">
        <f>1696.6-1673.5</f>
        <v>23.099999999999909</v>
      </c>
      <c r="G189" s="22" t="e">
        <f t="shared" si="33"/>
        <v>#NUM!</v>
      </c>
      <c r="H189" s="23"/>
    </row>
    <row r="190" spans="1:8" x14ac:dyDescent="0.2">
      <c r="A190" s="31" t="s">
        <v>61</v>
      </c>
      <c r="B190" s="32">
        <v>0</v>
      </c>
      <c r="C190" s="32"/>
      <c r="D190" s="17">
        <f t="shared" si="32"/>
        <v>0</v>
      </c>
      <c r="E190" s="31">
        <v>1</v>
      </c>
      <c r="F190" s="31">
        <f>1856.9-1780.5</f>
        <v>76.400000000000091</v>
      </c>
      <c r="G190" s="22" t="e">
        <f t="shared" si="33"/>
        <v>#NUM!</v>
      </c>
      <c r="H190" s="23"/>
    </row>
    <row r="191" spans="1:8" x14ac:dyDescent="0.2">
      <c r="A191" s="16" t="s">
        <v>63</v>
      </c>
      <c r="B191" s="32">
        <v>0</v>
      </c>
      <c r="D191" s="17">
        <f t="shared" si="32"/>
        <v>0</v>
      </c>
      <c r="E191" s="4">
        <v>1</v>
      </c>
      <c r="F191" s="4">
        <f>1698.3-1607.4</f>
        <v>90.899999999999864</v>
      </c>
      <c r="G191" s="22" t="e">
        <f t="shared" si="33"/>
        <v>#NUM!</v>
      </c>
      <c r="H191" s="23"/>
    </row>
    <row r="192" spans="1:8" x14ac:dyDescent="0.2">
      <c r="A192" s="16" t="s">
        <v>64</v>
      </c>
      <c r="B192" s="32">
        <v>0</v>
      </c>
      <c r="D192" s="17">
        <f t="shared" si="32"/>
        <v>0</v>
      </c>
      <c r="E192" s="4">
        <v>1</v>
      </c>
      <c r="F192" s="4">
        <f>1833.8-1703.6</f>
        <v>130.20000000000005</v>
      </c>
      <c r="G192" s="22" t="e">
        <f t="shared" si="33"/>
        <v>#NUM!</v>
      </c>
      <c r="H192" s="23"/>
    </row>
    <row r="193" spans="1:8" ht="51" x14ac:dyDescent="0.2">
      <c r="A193" s="30" t="s">
        <v>44</v>
      </c>
      <c r="B193" s="39" t="s">
        <v>0</v>
      </c>
      <c r="C193" s="39"/>
      <c r="D193" s="29" t="s">
        <v>1</v>
      </c>
      <c r="E193" s="29" t="s">
        <v>4</v>
      </c>
      <c r="F193" s="29" t="s">
        <v>2</v>
      </c>
      <c r="G193" s="21" t="s">
        <v>3</v>
      </c>
      <c r="H193" s="23"/>
    </row>
    <row r="194" spans="1:8" x14ac:dyDescent="0.2">
      <c r="A194" s="16" t="s">
        <v>17</v>
      </c>
      <c r="B194">
        <v>0</v>
      </c>
      <c r="C194">
        <v>0</v>
      </c>
      <c r="D194">
        <f>AVERAGE(B194:C194)</f>
        <v>0</v>
      </c>
      <c r="E194" s="4">
        <v>1</v>
      </c>
      <c r="F194" s="4">
        <f>1812.8-1738.2</f>
        <v>74.599999999999909</v>
      </c>
      <c r="G194" s="22" t="e">
        <f>LOG10(D194*100*E194/F194*1000)</f>
        <v>#NUM!</v>
      </c>
      <c r="H194" s="21"/>
    </row>
    <row r="195" spans="1:8" x14ac:dyDescent="0.2">
      <c r="A195" s="16" t="s">
        <v>18</v>
      </c>
      <c r="B195" s="17">
        <v>0</v>
      </c>
      <c r="C195" s="17">
        <v>0</v>
      </c>
      <c r="D195" s="17">
        <f t="shared" ref="D195:D206" si="34">AVERAGE(B195:C195)</f>
        <v>0</v>
      </c>
      <c r="E195" s="16">
        <v>1</v>
      </c>
      <c r="F195" s="16">
        <f>1820.8-1730.6</f>
        <v>90.200000000000045</v>
      </c>
      <c r="G195" s="22" t="e">
        <f t="shared" ref="G195:G208" si="35">LOG10(D195*100*E195/F195*1000)</f>
        <v>#NUM!</v>
      </c>
      <c r="H195" s="23"/>
    </row>
    <row r="196" spans="1:8" x14ac:dyDescent="0.2">
      <c r="A196" s="16" t="s">
        <v>19</v>
      </c>
      <c r="B196" s="17">
        <v>0</v>
      </c>
      <c r="C196" s="17">
        <v>0</v>
      </c>
      <c r="D196" s="17">
        <f t="shared" si="34"/>
        <v>0</v>
      </c>
      <c r="E196" s="16">
        <v>1</v>
      </c>
      <c r="F196" s="16">
        <f>1911.3-1876.4</f>
        <v>34.899999999999864</v>
      </c>
      <c r="G196" s="22" t="e">
        <f t="shared" si="35"/>
        <v>#NUM!</v>
      </c>
      <c r="H196" s="23"/>
    </row>
    <row r="197" spans="1:8" x14ac:dyDescent="0.2">
      <c r="A197" s="16" t="s">
        <v>20</v>
      </c>
      <c r="B197" s="17">
        <v>0</v>
      </c>
      <c r="C197" s="17">
        <v>0</v>
      </c>
      <c r="D197" s="17">
        <f t="shared" si="34"/>
        <v>0</v>
      </c>
      <c r="E197" s="16">
        <v>1</v>
      </c>
      <c r="F197" s="16">
        <f>1791-1724.4</f>
        <v>66.599999999999909</v>
      </c>
      <c r="G197" s="22" t="e">
        <f t="shared" si="35"/>
        <v>#NUM!</v>
      </c>
      <c r="H197" s="23"/>
    </row>
    <row r="198" spans="1:8" ht="17" x14ac:dyDescent="0.2">
      <c r="A198" s="27" t="s">
        <v>21</v>
      </c>
      <c r="B198" s="18">
        <v>0</v>
      </c>
      <c r="C198" s="18">
        <v>0</v>
      </c>
      <c r="D198" s="17">
        <f t="shared" si="34"/>
        <v>0</v>
      </c>
      <c r="E198" s="27">
        <v>1</v>
      </c>
      <c r="F198" s="27">
        <f>1687.4-1665.9</f>
        <v>21.5</v>
      </c>
      <c r="G198" s="22" t="e">
        <f t="shared" si="35"/>
        <v>#NUM!</v>
      </c>
      <c r="H198" s="23"/>
    </row>
    <row r="199" spans="1:8" x14ac:dyDescent="0.2">
      <c r="A199" s="16" t="s">
        <v>16</v>
      </c>
      <c r="B199" s="17">
        <v>0</v>
      </c>
      <c r="C199" s="17">
        <v>0</v>
      </c>
      <c r="D199" s="17">
        <f t="shared" si="34"/>
        <v>0</v>
      </c>
      <c r="E199" s="16">
        <v>1</v>
      </c>
      <c r="F199" s="16">
        <f>1753.3-1735.6</f>
        <v>17.700000000000045</v>
      </c>
      <c r="G199" s="22" t="e">
        <f t="shared" si="35"/>
        <v>#NUM!</v>
      </c>
      <c r="H199" s="23"/>
    </row>
    <row r="200" spans="1:8" x14ac:dyDescent="0.2">
      <c r="A200" s="16" t="s">
        <v>14</v>
      </c>
      <c r="B200" s="17">
        <v>0</v>
      </c>
      <c r="C200" s="17">
        <v>0</v>
      </c>
      <c r="D200" s="17">
        <f t="shared" si="34"/>
        <v>0</v>
      </c>
      <c r="E200" s="16">
        <v>1</v>
      </c>
      <c r="F200" s="16">
        <f>1920.9-1826</f>
        <v>94.900000000000091</v>
      </c>
      <c r="G200" s="22" t="e">
        <f t="shared" si="35"/>
        <v>#NUM!</v>
      </c>
      <c r="H200" s="23"/>
    </row>
    <row r="201" spans="1:8" x14ac:dyDescent="0.2">
      <c r="A201" s="16" t="s">
        <v>58</v>
      </c>
      <c r="B201" s="17">
        <v>0</v>
      </c>
      <c r="C201" s="17">
        <v>0</v>
      </c>
      <c r="D201" s="17">
        <f t="shared" si="34"/>
        <v>0</v>
      </c>
      <c r="E201" s="16">
        <v>1</v>
      </c>
      <c r="F201" s="16">
        <f>1733-1709.5</f>
        <v>23.5</v>
      </c>
      <c r="G201" s="22" t="e">
        <f t="shared" si="35"/>
        <v>#NUM!</v>
      </c>
      <c r="H201" s="23"/>
    </row>
    <row r="202" spans="1:8" x14ac:dyDescent="0.2">
      <c r="A202" s="16" t="s">
        <v>56</v>
      </c>
      <c r="B202" s="17">
        <v>0</v>
      </c>
      <c r="C202" s="17">
        <v>0</v>
      </c>
      <c r="D202" s="17">
        <f t="shared" si="34"/>
        <v>0</v>
      </c>
      <c r="E202" s="16">
        <v>1</v>
      </c>
      <c r="F202" s="16">
        <f>1736.1-1714.8</f>
        <v>21.299999999999955</v>
      </c>
      <c r="G202" s="22" t="e">
        <f t="shared" si="35"/>
        <v>#NUM!</v>
      </c>
      <c r="H202" s="23"/>
    </row>
    <row r="203" spans="1:8" x14ac:dyDescent="0.2">
      <c r="A203" s="16" t="s">
        <v>57</v>
      </c>
      <c r="B203" s="17">
        <v>0</v>
      </c>
      <c r="C203" s="17">
        <v>0</v>
      </c>
      <c r="D203" s="17">
        <f t="shared" si="34"/>
        <v>0</v>
      </c>
      <c r="E203" s="16">
        <v>1</v>
      </c>
      <c r="F203" s="4">
        <f>1661.7-1645.5</f>
        <v>16.200000000000045</v>
      </c>
      <c r="G203" s="22" t="e">
        <f t="shared" si="35"/>
        <v>#NUM!</v>
      </c>
      <c r="H203" s="23"/>
    </row>
    <row r="204" spans="1:8" x14ac:dyDescent="0.2">
      <c r="A204" s="31" t="s">
        <v>59</v>
      </c>
      <c r="B204" s="32">
        <v>0</v>
      </c>
      <c r="C204" s="32">
        <v>0</v>
      </c>
      <c r="D204" s="17">
        <f t="shared" si="34"/>
        <v>0</v>
      </c>
      <c r="E204" s="31">
        <v>1</v>
      </c>
      <c r="F204" s="31">
        <f>1648.2-1602.2</f>
        <v>46</v>
      </c>
      <c r="G204" s="22" t="e">
        <f t="shared" si="35"/>
        <v>#NUM!</v>
      </c>
      <c r="H204" s="23"/>
    </row>
    <row r="205" spans="1:8" x14ac:dyDescent="0.2">
      <c r="A205" s="31" t="s">
        <v>60</v>
      </c>
      <c r="B205" s="32">
        <v>0</v>
      </c>
      <c r="C205" s="32"/>
      <c r="D205" s="17">
        <f t="shared" si="34"/>
        <v>0</v>
      </c>
      <c r="E205" s="31">
        <v>1</v>
      </c>
      <c r="F205" s="31">
        <f>1801.4-1705.7</f>
        <v>95.700000000000045</v>
      </c>
      <c r="G205" s="22" t="e">
        <f t="shared" si="35"/>
        <v>#NUM!</v>
      </c>
      <c r="H205" s="23"/>
    </row>
    <row r="206" spans="1:8" x14ac:dyDescent="0.2">
      <c r="A206" s="31" t="s">
        <v>61</v>
      </c>
      <c r="B206" s="32">
        <v>0</v>
      </c>
      <c r="C206" s="32"/>
      <c r="D206" s="17">
        <f t="shared" si="34"/>
        <v>0</v>
      </c>
      <c r="E206" s="31">
        <v>1</v>
      </c>
      <c r="F206" s="31">
        <f>1655.7-1645.1</f>
        <v>10.600000000000136</v>
      </c>
      <c r="G206" s="22" t="e">
        <f t="shared" si="35"/>
        <v>#NUM!</v>
      </c>
      <c r="H206" s="23"/>
    </row>
    <row r="207" spans="1:8" x14ac:dyDescent="0.2">
      <c r="A207" s="16" t="s">
        <v>63</v>
      </c>
      <c r="B207" s="32">
        <v>0</v>
      </c>
      <c r="C207" s="32"/>
      <c r="E207" s="4">
        <v>1</v>
      </c>
      <c r="F207" s="4">
        <f>1840.5-1597.8</f>
        <v>242.70000000000005</v>
      </c>
      <c r="G207" s="22" t="e">
        <f t="shared" si="35"/>
        <v>#NUM!</v>
      </c>
      <c r="H207" s="5"/>
    </row>
    <row r="208" spans="1:8" x14ac:dyDescent="0.2">
      <c r="A208" s="16" t="s">
        <v>64</v>
      </c>
      <c r="B208" s="32">
        <v>0</v>
      </c>
      <c r="E208" s="4">
        <v>1</v>
      </c>
      <c r="F208" s="4">
        <f>1872.3-1819.8</f>
        <v>52.5</v>
      </c>
      <c r="G208" s="22" t="e">
        <f t="shared" si="35"/>
        <v>#NUM!</v>
      </c>
      <c r="H208" s="5"/>
    </row>
    <row r="209" spans="1:8" ht="51" x14ac:dyDescent="0.2">
      <c r="A209" s="30" t="s">
        <v>45</v>
      </c>
      <c r="B209" s="39" t="s">
        <v>0</v>
      </c>
      <c r="C209" s="39"/>
      <c r="D209" s="29" t="s">
        <v>1</v>
      </c>
      <c r="E209" s="29" t="s">
        <v>4</v>
      </c>
      <c r="F209" s="29" t="s">
        <v>2</v>
      </c>
      <c r="G209" s="21" t="s">
        <v>3</v>
      </c>
      <c r="H209" s="5"/>
    </row>
    <row r="210" spans="1:8" x14ac:dyDescent="0.2">
      <c r="A210" s="16" t="s">
        <v>17</v>
      </c>
      <c r="B210">
        <v>0</v>
      </c>
      <c r="C210">
        <v>0</v>
      </c>
      <c r="D210">
        <f>AVERAGE(B210:C210)</f>
        <v>0</v>
      </c>
      <c r="E210" s="4">
        <v>1</v>
      </c>
      <c r="F210" s="4">
        <f>1771-1747.2</f>
        <v>23.799999999999955</v>
      </c>
      <c r="G210" s="23" t="e">
        <f>LOG10(D210*100*E210/F210*1000)</f>
        <v>#NUM!</v>
      </c>
      <c r="H210" s="5"/>
    </row>
    <row r="211" spans="1:8" x14ac:dyDescent="0.2">
      <c r="A211" s="16" t="s">
        <v>18</v>
      </c>
      <c r="B211" s="17">
        <v>0</v>
      </c>
      <c r="C211" s="17">
        <v>0</v>
      </c>
      <c r="D211" s="17">
        <f t="shared" ref="D211:D224" si="36">AVERAGE(B211:C211)</f>
        <v>0</v>
      </c>
      <c r="E211" s="16">
        <v>1</v>
      </c>
      <c r="F211" s="16">
        <f>1704.4-1686.4</f>
        <v>18</v>
      </c>
      <c r="G211" s="23" t="e">
        <f t="shared" ref="G211:G214" si="37">LOG10(D211*100*E211/F211*1000)</f>
        <v>#NUM!</v>
      </c>
      <c r="H211" s="5"/>
    </row>
    <row r="212" spans="1:8" x14ac:dyDescent="0.2">
      <c r="A212" s="16" t="s">
        <v>19</v>
      </c>
      <c r="B212" s="17">
        <v>0</v>
      </c>
      <c r="C212" s="17">
        <v>0</v>
      </c>
      <c r="D212" s="17">
        <f t="shared" si="36"/>
        <v>0</v>
      </c>
      <c r="E212" s="16">
        <v>1</v>
      </c>
      <c r="F212" s="16">
        <f>1712.4-1686</f>
        <v>26.400000000000091</v>
      </c>
      <c r="G212" s="23" t="e">
        <f t="shared" si="37"/>
        <v>#NUM!</v>
      </c>
      <c r="H212" s="5"/>
    </row>
    <row r="213" spans="1:8" x14ac:dyDescent="0.2">
      <c r="A213" s="16" t="s">
        <v>20</v>
      </c>
      <c r="B213" s="17">
        <v>0</v>
      </c>
      <c r="C213" s="17">
        <v>0</v>
      </c>
      <c r="D213" s="17">
        <f t="shared" si="36"/>
        <v>0</v>
      </c>
      <c r="E213" s="16">
        <v>1</v>
      </c>
      <c r="F213" s="16">
        <f>1766.2-1726.1</f>
        <v>40.100000000000136</v>
      </c>
      <c r="G213" s="23" t="e">
        <f t="shared" si="37"/>
        <v>#NUM!</v>
      </c>
      <c r="H213" s="5"/>
    </row>
    <row r="214" spans="1:8" ht="17" x14ac:dyDescent="0.2">
      <c r="A214" s="27" t="s">
        <v>21</v>
      </c>
      <c r="B214" s="18">
        <v>0</v>
      </c>
      <c r="C214" s="18">
        <v>0</v>
      </c>
      <c r="D214" s="17">
        <f t="shared" si="36"/>
        <v>0</v>
      </c>
      <c r="E214" s="27">
        <v>1</v>
      </c>
      <c r="F214" s="27">
        <f>1768.1-1705.5</f>
        <v>62.599999999999909</v>
      </c>
      <c r="G214" s="23" t="e">
        <f t="shared" si="37"/>
        <v>#NUM!</v>
      </c>
      <c r="H214" s="5"/>
    </row>
    <row r="215" spans="1:8" x14ac:dyDescent="0.2">
      <c r="A215" s="16" t="s">
        <v>16</v>
      </c>
      <c r="B215" s="17">
        <v>0</v>
      </c>
      <c r="C215" s="17">
        <v>0</v>
      </c>
      <c r="D215" s="17">
        <f t="shared" si="36"/>
        <v>0</v>
      </c>
      <c r="E215" s="16">
        <v>1</v>
      </c>
      <c r="F215" s="16">
        <f>1836.2-1790.7</f>
        <v>45.5</v>
      </c>
      <c r="G215" s="23" t="e">
        <f>LOG10(D215*100*E215/F215*1000)</f>
        <v>#NUM!</v>
      </c>
      <c r="H215" s="5"/>
    </row>
    <row r="216" spans="1:8" x14ac:dyDescent="0.2">
      <c r="A216" s="16" t="s">
        <v>14</v>
      </c>
      <c r="B216" s="17">
        <v>0</v>
      </c>
      <c r="C216" s="17">
        <v>0</v>
      </c>
      <c r="D216" s="17">
        <f t="shared" si="36"/>
        <v>0</v>
      </c>
      <c r="E216" s="16">
        <v>1</v>
      </c>
      <c r="F216" s="16">
        <f>1629.5-1610.5</f>
        <v>19</v>
      </c>
      <c r="G216" s="23" t="e">
        <f>LOG10(D216*100*E216/F216*1000)</f>
        <v>#NUM!</v>
      </c>
      <c r="H216" s="5"/>
    </row>
    <row r="217" spans="1:8" x14ac:dyDescent="0.2">
      <c r="A217" s="16" t="s">
        <v>53</v>
      </c>
      <c r="B217" s="17">
        <v>0</v>
      </c>
      <c r="C217" s="17">
        <v>0</v>
      </c>
      <c r="D217" s="17">
        <f t="shared" si="36"/>
        <v>0</v>
      </c>
      <c r="E217" s="16">
        <v>1</v>
      </c>
      <c r="F217" s="16">
        <f>1679.3-1632.3</f>
        <v>47</v>
      </c>
      <c r="G217" s="23" t="e">
        <f t="shared" ref="G217:G224" si="38">LOG10(D217*100*E217/F217*1000)</f>
        <v>#NUM!</v>
      </c>
      <c r="H217" s="5"/>
    </row>
    <row r="218" spans="1:8" x14ac:dyDescent="0.2">
      <c r="A218" s="16" t="s">
        <v>56</v>
      </c>
      <c r="B218" s="17">
        <v>0</v>
      </c>
      <c r="C218" s="17">
        <v>0</v>
      </c>
      <c r="D218" s="17">
        <f t="shared" si="36"/>
        <v>0</v>
      </c>
      <c r="E218" s="16">
        <v>1</v>
      </c>
      <c r="F218" s="4">
        <f>1832.1-1762.8</f>
        <v>69.299999999999955</v>
      </c>
      <c r="G218" s="23" t="e">
        <f t="shared" si="38"/>
        <v>#NUM!</v>
      </c>
      <c r="H218" s="5"/>
    </row>
    <row r="219" spans="1:8" x14ac:dyDescent="0.2">
      <c r="A219" s="16" t="s">
        <v>57</v>
      </c>
      <c r="B219" s="17">
        <v>0</v>
      </c>
      <c r="C219" s="17">
        <v>0</v>
      </c>
      <c r="D219" s="17">
        <f t="shared" si="36"/>
        <v>0</v>
      </c>
      <c r="E219" s="16">
        <v>1</v>
      </c>
      <c r="F219" s="4">
        <f>1790.5-1740.9</f>
        <v>49.599999999999909</v>
      </c>
      <c r="G219" s="23" t="e">
        <f t="shared" si="38"/>
        <v>#NUM!</v>
      </c>
      <c r="H219" s="5"/>
    </row>
    <row r="220" spans="1:8" x14ac:dyDescent="0.2">
      <c r="A220" s="31" t="s">
        <v>59</v>
      </c>
      <c r="B220" s="32">
        <v>0</v>
      </c>
      <c r="C220" s="32">
        <v>0</v>
      </c>
      <c r="D220" s="17">
        <f t="shared" si="36"/>
        <v>0</v>
      </c>
      <c r="E220" s="31">
        <v>1</v>
      </c>
      <c r="F220" s="31">
        <f>1904.6-1825.5</f>
        <v>79.099999999999909</v>
      </c>
      <c r="G220" s="23" t="e">
        <f t="shared" si="38"/>
        <v>#NUM!</v>
      </c>
      <c r="H220" s="5"/>
    </row>
    <row r="221" spans="1:8" x14ac:dyDescent="0.2">
      <c r="A221" s="31" t="s">
        <v>60</v>
      </c>
      <c r="B221" s="32">
        <v>0</v>
      </c>
      <c r="C221" s="32"/>
      <c r="D221" s="17">
        <f t="shared" si="36"/>
        <v>0</v>
      </c>
      <c r="E221" s="31">
        <v>1</v>
      </c>
      <c r="F221" s="31">
        <f>1704.7-1684.4</f>
        <v>20.299999999999955</v>
      </c>
      <c r="G221" s="23" t="e">
        <f t="shared" si="38"/>
        <v>#NUM!</v>
      </c>
      <c r="H221" s="5"/>
    </row>
    <row r="222" spans="1:8" x14ac:dyDescent="0.2">
      <c r="A222" s="31" t="s">
        <v>61</v>
      </c>
      <c r="B222" s="32">
        <v>0</v>
      </c>
      <c r="C222" s="32"/>
      <c r="D222" s="17">
        <f t="shared" si="36"/>
        <v>0</v>
      </c>
      <c r="E222" s="31">
        <v>1</v>
      </c>
      <c r="F222" s="31">
        <f>1796.4-1691.6</f>
        <v>104.80000000000018</v>
      </c>
      <c r="G222" s="23" t="e">
        <f t="shared" si="38"/>
        <v>#NUM!</v>
      </c>
      <c r="H222" s="5"/>
    </row>
    <row r="223" spans="1:8" x14ac:dyDescent="0.2">
      <c r="A223" s="16" t="s">
        <v>63</v>
      </c>
      <c r="B223" s="32">
        <v>0</v>
      </c>
      <c r="C223" s="17"/>
      <c r="D223" s="17">
        <f t="shared" si="36"/>
        <v>0</v>
      </c>
      <c r="E223" s="16">
        <v>1</v>
      </c>
      <c r="F223" s="4">
        <f>1678.5-1662</f>
        <v>16.5</v>
      </c>
      <c r="G223" s="23" t="e">
        <f t="shared" si="38"/>
        <v>#NUM!</v>
      </c>
      <c r="H223" s="3"/>
    </row>
    <row r="224" spans="1:8" x14ac:dyDescent="0.2">
      <c r="A224" s="16" t="s">
        <v>64</v>
      </c>
      <c r="B224" s="32">
        <v>0</v>
      </c>
      <c r="C224" s="17"/>
      <c r="D224" s="17">
        <f t="shared" si="36"/>
        <v>0</v>
      </c>
      <c r="E224" s="4">
        <v>1</v>
      </c>
      <c r="F224" s="4">
        <f>1787.9-1740.5</f>
        <v>47.400000000000091</v>
      </c>
      <c r="G224" s="23" t="e">
        <f t="shared" si="38"/>
        <v>#NUM!</v>
      </c>
      <c r="H224" s="3"/>
    </row>
    <row r="225" spans="1:8" ht="51" x14ac:dyDescent="0.2">
      <c r="A225" s="30" t="s">
        <v>46</v>
      </c>
      <c r="B225" s="39" t="s">
        <v>0</v>
      </c>
      <c r="C225" s="39"/>
      <c r="D225" s="29" t="s">
        <v>1</v>
      </c>
      <c r="E225" s="29" t="s">
        <v>4</v>
      </c>
      <c r="F225" s="29" t="s">
        <v>2</v>
      </c>
      <c r="G225" s="21" t="s">
        <v>3</v>
      </c>
      <c r="H225" s="3"/>
    </row>
    <row r="226" spans="1:8" x14ac:dyDescent="0.2">
      <c r="A226" s="16" t="s">
        <v>17</v>
      </c>
      <c r="B226">
        <v>0</v>
      </c>
      <c r="C226">
        <v>0</v>
      </c>
      <c r="D226">
        <f>AVERAGE(B226:C226)</f>
        <v>0</v>
      </c>
      <c r="E226" s="4">
        <v>1</v>
      </c>
      <c r="F226" s="4">
        <f>1772.9-1743.2</f>
        <v>29.700000000000045</v>
      </c>
      <c r="G226" s="23" t="e">
        <f>LOG10(D226*100*E226/F226*1000)</f>
        <v>#NUM!</v>
      </c>
    </row>
    <row r="227" spans="1:8" x14ac:dyDescent="0.2">
      <c r="A227" s="16" t="s">
        <v>18</v>
      </c>
      <c r="B227" s="17">
        <v>0</v>
      </c>
      <c r="C227" s="17">
        <v>0</v>
      </c>
      <c r="D227" s="17">
        <f t="shared" ref="D227:D240" si="39">AVERAGE(B227:C227)</f>
        <v>0</v>
      </c>
      <c r="E227" s="16">
        <v>1</v>
      </c>
      <c r="F227" s="16">
        <f>1795.4-1699.5</f>
        <v>95.900000000000091</v>
      </c>
      <c r="G227" s="23" t="e">
        <f t="shared" ref="G227:G240" si="40">LOG10(D227*100*E227/F227*1000)</f>
        <v>#NUM!</v>
      </c>
      <c r="H227" s="6"/>
    </row>
    <row r="228" spans="1:8" x14ac:dyDescent="0.2">
      <c r="A228" s="16" t="s">
        <v>19</v>
      </c>
      <c r="B228" s="17">
        <v>0</v>
      </c>
      <c r="C228" s="17">
        <v>0</v>
      </c>
      <c r="D228" s="17">
        <f t="shared" si="39"/>
        <v>0</v>
      </c>
      <c r="E228" s="16">
        <v>1</v>
      </c>
      <c r="F228" s="16">
        <f>1899.9-1847.6</f>
        <v>52.300000000000182</v>
      </c>
      <c r="G228" s="23" t="e">
        <f t="shared" si="40"/>
        <v>#NUM!</v>
      </c>
      <c r="H228" s="5"/>
    </row>
    <row r="229" spans="1:8" x14ac:dyDescent="0.2">
      <c r="A229" s="16" t="s">
        <v>23</v>
      </c>
      <c r="B229" s="17">
        <v>0</v>
      </c>
      <c r="C229" s="17">
        <v>0</v>
      </c>
      <c r="D229" s="17">
        <f t="shared" si="39"/>
        <v>0</v>
      </c>
      <c r="E229" s="16">
        <v>1</v>
      </c>
      <c r="F229" s="16">
        <f>1869.1-1770</f>
        <v>99.099999999999909</v>
      </c>
      <c r="G229" s="23" t="e">
        <f t="shared" si="40"/>
        <v>#NUM!</v>
      </c>
      <c r="H229" s="5"/>
    </row>
    <row r="230" spans="1:8" ht="17" x14ac:dyDescent="0.2">
      <c r="A230" s="27" t="s">
        <v>21</v>
      </c>
      <c r="B230" s="18">
        <v>0</v>
      </c>
      <c r="C230" s="18">
        <v>0</v>
      </c>
      <c r="D230" s="17">
        <f t="shared" si="39"/>
        <v>0</v>
      </c>
      <c r="E230" s="27">
        <v>1</v>
      </c>
      <c r="F230" s="27">
        <f>1920.3-1838.3</f>
        <v>82</v>
      </c>
      <c r="G230" s="23" t="e">
        <f t="shared" si="40"/>
        <v>#NUM!</v>
      </c>
      <c r="H230" s="5"/>
    </row>
    <row r="231" spans="1:8" x14ac:dyDescent="0.2">
      <c r="A231" s="16" t="s">
        <v>16</v>
      </c>
      <c r="B231" s="17">
        <v>0</v>
      </c>
      <c r="C231" s="17">
        <v>0</v>
      </c>
      <c r="D231" s="17">
        <f t="shared" si="39"/>
        <v>0</v>
      </c>
      <c r="E231" s="16">
        <v>1</v>
      </c>
      <c r="F231" s="16">
        <f>1777.2-1725.9</f>
        <v>51.299999999999955</v>
      </c>
      <c r="G231" s="23" t="e">
        <f t="shared" si="40"/>
        <v>#NUM!</v>
      </c>
      <c r="H231" s="5"/>
    </row>
    <row r="232" spans="1:8" x14ac:dyDescent="0.2">
      <c r="A232" s="16" t="s">
        <v>14</v>
      </c>
      <c r="B232" s="17">
        <v>0</v>
      </c>
      <c r="C232" s="17">
        <v>0</v>
      </c>
      <c r="D232" s="17">
        <f t="shared" si="39"/>
        <v>0</v>
      </c>
      <c r="E232" s="16">
        <v>1</v>
      </c>
      <c r="F232" s="16">
        <f>1739.7-1670.3</f>
        <v>69.400000000000091</v>
      </c>
      <c r="G232" s="23" t="e">
        <f t="shared" si="40"/>
        <v>#NUM!</v>
      </c>
      <c r="H232" s="5"/>
    </row>
    <row r="233" spans="1:8" x14ac:dyDescent="0.2">
      <c r="A233" s="16" t="s">
        <v>53</v>
      </c>
      <c r="B233" s="17">
        <v>0</v>
      </c>
      <c r="C233" s="17">
        <v>0</v>
      </c>
      <c r="D233" s="17">
        <f t="shared" si="39"/>
        <v>0</v>
      </c>
      <c r="E233" s="16">
        <v>1</v>
      </c>
      <c r="F233" s="16">
        <f>1842.3-1791.5</f>
        <v>50.799999999999955</v>
      </c>
      <c r="G233" s="23" t="e">
        <f t="shared" si="40"/>
        <v>#NUM!</v>
      </c>
      <c r="H233" s="5"/>
    </row>
    <row r="234" spans="1:8" x14ac:dyDescent="0.2">
      <c r="A234" s="16" t="s">
        <v>56</v>
      </c>
      <c r="B234" s="17">
        <v>0</v>
      </c>
      <c r="C234" s="17">
        <v>0</v>
      </c>
      <c r="D234" s="17">
        <f t="shared" si="39"/>
        <v>0</v>
      </c>
      <c r="E234" s="16">
        <v>1</v>
      </c>
      <c r="F234" s="25">
        <f>1729.6-1670.8</f>
        <v>58.799999999999955</v>
      </c>
      <c r="G234" s="23" t="e">
        <f t="shared" si="40"/>
        <v>#NUM!</v>
      </c>
      <c r="H234" s="5"/>
    </row>
    <row r="235" spans="1:8" x14ac:dyDescent="0.2">
      <c r="A235" s="16" t="s">
        <v>57</v>
      </c>
      <c r="B235" s="17">
        <v>0</v>
      </c>
      <c r="C235" s="17">
        <v>0</v>
      </c>
      <c r="D235" s="17">
        <f t="shared" si="39"/>
        <v>0</v>
      </c>
      <c r="E235" s="16">
        <v>1</v>
      </c>
      <c r="F235" s="25">
        <f>1826.6-1802.4</f>
        <v>24.199999999999818</v>
      </c>
      <c r="G235" s="23" t="e">
        <f t="shared" si="40"/>
        <v>#NUM!</v>
      </c>
      <c r="H235" s="5"/>
    </row>
    <row r="236" spans="1:8" x14ac:dyDescent="0.2">
      <c r="A236" s="31" t="s">
        <v>59</v>
      </c>
      <c r="B236" s="32">
        <v>0</v>
      </c>
      <c r="C236" s="32">
        <v>0</v>
      </c>
      <c r="D236" s="17">
        <f t="shared" si="39"/>
        <v>0</v>
      </c>
      <c r="E236" s="31">
        <v>1</v>
      </c>
      <c r="F236" s="31">
        <f>1650.6-1599.8</f>
        <v>50.799999999999955</v>
      </c>
      <c r="G236" s="23" t="e">
        <f t="shared" si="40"/>
        <v>#NUM!</v>
      </c>
      <c r="H236" s="5"/>
    </row>
    <row r="237" spans="1:8" x14ac:dyDescent="0.2">
      <c r="A237" s="31" t="s">
        <v>60</v>
      </c>
      <c r="B237" s="32">
        <v>0</v>
      </c>
      <c r="C237" s="32"/>
      <c r="D237" s="17">
        <f t="shared" si="39"/>
        <v>0</v>
      </c>
      <c r="E237" s="31">
        <v>1</v>
      </c>
      <c r="F237" s="31">
        <f>1743.6-1680.9</f>
        <v>62.699999999999818</v>
      </c>
      <c r="G237" s="23" t="e">
        <f t="shared" si="40"/>
        <v>#NUM!</v>
      </c>
      <c r="H237" s="5"/>
    </row>
    <row r="238" spans="1:8" x14ac:dyDescent="0.2">
      <c r="A238" s="31" t="s">
        <v>61</v>
      </c>
      <c r="B238" s="32">
        <v>0</v>
      </c>
      <c r="C238" s="32"/>
      <c r="D238" s="17">
        <f t="shared" si="39"/>
        <v>0</v>
      </c>
      <c r="E238" s="31">
        <v>1</v>
      </c>
      <c r="F238" s="31">
        <f>1808.5-1748.8</f>
        <v>59.700000000000045</v>
      </c>
      <c r="G238" s="23" t="e">
        <f t="shared" si="40"/>
        <v>#NUM!</v>
      </c>
      <c r="H238" s="5"/>
    </row>
    <row r="239" spans="1:8" x14ac:dyDescent="0.2">
      <c r="A239" s="16" t="s">
        <v>63</v>
      </c>
      <c r="B239" s="32">
        <v>0</v>
      </c>
      <c r="C239" s="17"/>
      <c r="D239" s="17">
        <f t="shared" si="39"/>
        <v>0</v>
      </c>
      <c r="E239" s="16">
        <v>1</v>
      </c>
      <c r="F239" s="25">
        <f>1814-1736.3</f>
        <v>77.700000000000045</v>
      </c>
      <c r="G239" s="22" t="e">
        <f t="shared" si="40"/>
        <v>#NUM!</v>
      </c>
      <c r="H239" s="5"/>
    </row>
    <row r="240" spans="1:8" x14ac:dyDescent="0.2">
      <c r="A240" s="4" t="s">
        <v>64</v>
      </c>
      <c r="B240" s="32">
        <v>0</v>
      </c>
      <c r="C240" s="17"/>
      <c r="D240" s="17">
        <f t="shared" si="39"/>
        <v>0</v>
      </c>
      <c r="E240" s="16">
        <v>1</v>
      </c>
      <c r="F240" s="25">
        <f>1880.3-1800.8</f>
        <v>79.5</v>
      </c>
      <c r="G240" s="22" t="e">
        <f t="shared" si="40"/>
        <v>#NUM!</v>
      </c>
      <c r="H240" s="5"/>
    </row>
    <row r="241" spans="1:8" ht="51" x14ac:dyDescent="0.2">
      <c r="A241" s="2" t="s">
        <v>47</v>
      </c>
      <c r="B241" s="39" t="s">
        <v>0</v>
      </c>
      <c r="C241" s="39"/>
      <c r="D241" s="29" t="s">
        <v>1</v>
      </c>
      <c r="E241" s="29" t="s">
        <v>4</v>
      </c>
      <c r="F241" s="29" t="s">
        <v>2</v>
      </c>
      <c r="G241" s="21" t="s">
        <v>3</v>
      </c>
      <c r="H241" s="5"/>
    </row>
    <row r="242" spans="1:8" x14ac:dyDescent="0.2">
      <c r="A242" s="16" t="s">
        <v>17</v>
      </c>
      <c r="B242">
        <v>0</v>
      </c>
      <c r="C242">
        <v>0</v>
      </c>
      <c r="D242">
        <f>AVERAGE(B242:C242)</f>
        <v>0</v>
      </c>
      <c r="E242" s="4">
        <v>1</v>
      </c>
      <c r="F242" s="4">
        <f>1680.4-1670</f>
        <v>10.400000000000091</v>
      </c>
      <c r="G242" s="22" t="e">
        <f>LOG10(D242*100*E242/F242*1000)</f>
        <v>#NUM!</v>
      </c>
      <c r="H242" s="5"/>
    </row>
    <row r="243" spans="1:8" x14ac:dyDescent="0.2">
      <c r="A243" s="16" t="s">
        <v>18</v>
      </c>
      <c r="B243" s="17">
        <v>0</v>
      </c>
      <c r="C243" s="17">
        <v>0</v>
      </c>
      <c r="D243" s="17">
        <f t="shared" ref="D243:D256" si="41">AVERAGE(B243:C243)</f>
        <v>0</v>
      </c>
      <c r="E243" s="16">
        <v>1</v>
      </c>
      <c r="F243" s="16">
        <f>1788.1-1747.7</f>
        <v>40.399999999999864</v>
      </c>
      <c r="G243" s="22" t="e">
        <f t="shared" ref="G243:G256" si="42">LOG10(D243*100*E243/F243*1000)</f>
        <v>#NUM!</v>
      </c>
      <c r="H243" s="5"/>
    </row>
    <row r="244" spans="1:8" x14ac:dyDescent="0.2">
      <c r="A244" s="16" t="s">
        <v>19</v>
      </c>
      <c r="B244" s="17">
        <v>0</v>
      </c>
      <c r="C244" s="17">
        <v>0</v>
      </c>
      <c r="D244" s="17">
        <f t="shared" si="41"/>
        <v>0</v>
      </c>
      <c r="E244" s="16">
        <v>1</v>
      </c>
      <c r="F244" s="16">
        <f>1766.9-1752.5</f>
        <v>14.400000000000091</v>
      </c>
      <c r="G244" s="22" t="e">
        <f t="shared" si="42"/>
        <v>#NUM!</v>
      </c>
      <c r="H244" s="5"/>
    </row>
    <row r="245" spans="1:8" x14ac:dyDescent="0.2">
      <c r="A245" s="16" t="s">
        <v>23</v>
      </c>
      <c r="B245" s="17">
        <v>0</v>
      </c>
      <c r="C245" s="17">
        <v>0</v>
      </c>
      <c r="D245" s="17">
        <f t="shared" si="41"/>
        <v>0</v>
      </c>
      <c r="E245" s="16">
        <v>1</v>
      </c>
      <c r="F245" s="16">
        <f>1716.9-1697.5</f>
        <v>19.400000000000091</v>
      </c>
      <c r="G245" s="22" t="e">
        <f t="shared" si="42"/>
        <v>#NUM!</v>
      </c>
      <c r="H245" s="5"/>
    </row>
    <row r="246" spans="1:8" ht="17" x14ac:dyDescent="0.2">
      <c r="A246" s="27" t="s">
        <v>21</v>
      </c>
      <c r="B246" s="18">
        <v>0</v>
      </c>
      <c r="C246" s="18">
        <v>0</v>
      </c>
      <c r="D246" s="17">
        <f t="shared" si="41"/>
        <v>0</v>
      </c>
      <c r="E246" s="27">
        <v>1</v>
      </c>
      <c r="F246" s="27">
        <f>1728.3-1710.3</f>
        <v>18</v>
      </c>
      <c r="G246" s="22" t="e">
        <f t="shared" si="42"/>
        <v>#NUM!</v>
      </c>
      <c r="H246" s="5"/>
    </row>
    <row r="247" spans="1:8" x14ac:dyDescent="0.2">
      <c r="A247" s="16" t="s">
        <v>16</v>
      </c>
      <c r="B247" s="17">
        <v>0</v>
      </c>
      <c r="C247" s="17">
        <v>0</v>
      </c>
      <c r="D247" s="17">
        <f t="shared" si="41"/>
        <v>0</v>
      </c>
      <c r="E247" s="16">
        <v>1</v>
      </c>
      <c r="F247" s="16">
        <f>1672.7-1651.5</f>
        <v>21.200000000000045</v>
      </c>
      <c r="G247" s="22" t="e">
        <f t="shared" si="42"/>
        <v>#NUM!</v>
      </c>
      <c r="H247" s="5"/>
    </row>
    <row r="248" spans="1:8" x14ac:dyDescent="0.2">
      <c r="A248" s="16" t="s">
        <v>52</v>
      </c>
      <c r="B248" s="33"/>
      <c r="C248" s="33"/>
      <c r="D248" s="17" t="e">
        <f t="shared" si="41"/>
        <v>#DIV/0!</v>
      </c>
      <c r="E248" s="16"/>
      <c r="F248" s="16"/>
      <c r="G248" s="22"/>
      <c r="H248" s="5"/>
    </row>
    <row r="249" spans="1:8" x14ac:dyDescent="0.2">
      <c r="A249" s="16" t="s">
        <v>58</v>
      </c>
      <c r="B249" s="33">
        <v>0</v>
      </c>
      <c r="C249" s="33">
        <v>0</v>
      </c>
      <c r="D249" s="17">
        <f t="shared" si="41"/>
        <v>0</v>
      </c>
      <c r="E249" s="16">
        <v>1</v>
      </c>
      <c r="F249" s="16">
        <f>1724.6-1704.2</f>
        <v>20.399999999999864</v>
      </c>
      <c r="G249" s="22" t="e">
        <f t="shared" si="42"/>
        <v>#NUM!</v>
      </c>
      <c r="H249" s="5"/>
    </row>
    <row r="250" spans="1:8" x14ac:dyDescent="0.2">
      <c r="A250" s="16" t="s">
        <v>56</v>
      </c>
      <c r="B250" s="33">
        <v>0</v>
      </c>
      <c r="C250" s="33">
        <v>0</v>
      </c>
      <c r="D250" s="17">
        <f t="shared" si="41"/>
        <v>0</v>
      </c>
      <c r="E250" s="16">
        <v>1</v>
      </c>
      <c r="F250" s="17">
        <f>1732-1681.1</f>
        <v>50.900000000000091</v>
      </c>
      <c r="G250" s="22" t="e">
        <f t="shared" si="42"/>
        <v>#NUM!</v>
      </c>
      <c r="H250" s="5"/>
    </row>
    <row r="251" spans="1:8" ht="17" x14ac:dyDescent="0.2">
      <c r="A251" s="27" t="s">
        <v>57</v>
      </c>
      <c r="B251" s="34">
        <v>0</v>
      </c>
      <c r="C251" s="34">
        <v>0</v>
      </c>
      <c r="D251" s="17">
        <f t="shared" si="41"/>
        <v>0</v>
      </c>
      <c r="E251" s="27">
        <v>1</v>
      </c>
      <c r="F251" s="27">
        <f>1696.7-1617.1</f>
        <v>79.600000000000136</v>
      </c>
      <c r="G251" s="22" t="e">
        <f t="shared" si="42"/>
        <v>#NUM!</v>
      </c>
      <c r="H251" s="3"/>
    </row>
    <row r="252" spans="1:8" x14ac:dyDescent="0.2">
      <c r="A252" s="31" t="s">
        <v>59</v>
      </c>
      <c r="B252" s="35">
        <v>0</v>
      </c>
      <c r="C252" s="35">
        <v>0</v>
      </c>
      <c r="D252" s="17">
        <f t="shared" si="41"/>
        <v>0</v>
      </c>
      <c r="E252" s="31">
        <v>1</v>
      </c>
      <c r="F252" s="31">
        <f>1700.2-1688</f>
        <v>12.200000000000045</v>
      </c>
      <c r="G252" s="22" t="e">
        <f t="shared" si="42"/>
        <v>#NUM!</v>
      </c>
      <c r="H252" s="3"/>
    </row>
    <row r="253" spans="1:8" x14ac:dyDescent="0.2">
      <c r="A253" s="31" t="s">
        <v>60</v>
      </c>
      <c r="B253" s="36">
        <v>0</v>
      </c>
      <c r="C253" s="35"/>
      <c r="D253" s="17">
        <f t="shared" si="41"/>
        <v>0</v>
      </c>
      <c r="E253" s="31">
        <v>1</v>
      </c>
      <c r="F253" s="31">
        <f>1842.1-1787.8</f>
        <v>54.299999999999955</v>
      </c>
      <c r="G253" s="22" t="e">
        <f t="shared" si="42"/>
        <v>#NUM!</v>
      </c>
      <c r="H253" s="3"/>
    </row>
    <row r="254" spans="1:8" x14ac:dyDescent="0.2">
      <c r="A254" s="31" t="s">
        <v>61</v>
      </c>
      <c r="B254" s="36">
        <v>0</v>
      </c>
      <c r="C254" s="32"/>
      <c r="D254" s="17">
        <f t="shared" si="41"/>
        <v>0</v>
      </c>
      <c r="E254" s="31">
        <v>1</v>
      </c>
      <c r="F254" s="31">
        <f>1736.8-1667.7</f>
        <v>69.099999999999909</v>
      </c>
      <c r="G254" s="22" t="e">
        <f t="shared" si="42"/>
        <v>#NUM!</v>
      </c>
      <c r="H254" s="3"/>
    </row>
    <row r="255" spans="1:8" ht="17" x14ac:dyDescent="0.2">
      <c r="A255" s="27" t="s">
        <v>63</v>
      </c>
      <c r="B255" s="18">
        <v>0</v>
      </c>
      <c r="C255" s="27"/>
      <c r="D255" s="17">
        <f t="shared" si="41"/>
        <v>0</v>
      </c>
      <c r="E255" s="27">
        <v>1</v>
      </c>
      <c r="F255" s="27">
        <f>1692.5-1648.2</f>
        <v>44.299999999999955</v>
      </c>
      <c r="G255" s="22" t="e">
        <f t="shared" si="42"/>
        <v>#NUM!</v>
      </c>
      <c r="H255" s="3"/>
    </row>
    <row r="256" spans="1:8" ht="17" x14ac:dyDescent="0.2">
      <c r="A256" s="27" t="s">
        <v>64</v>
      </c>
      <c r="B256" s="18">
        <v>0</v>
      </c>
      <c r="C256" s="27"/>
      <c r="D256" s="17">
        <f t="shared" si="41"/>
        <v>0</v>
      </c>
      <c r="E256" s="27">
        <v>1</v>
      </c>
      <c r="F256" s="27">
        <f>1736-1687.8</f>
        <v>48.200000000000045</v>
      </c>
      <c r="G256" s="22" t="e">
        <f t="shared" si="42"/>
        <v>#NUM!</v>
      </c>
      <c r="H256" s="3"/>
    </row>
    <row r="257" spans="1:8" ht="51" x14ac:dyDescent="0.2">
      <c r="A257" s="30" t="s">
        <v>48</v>
      </c>
      <c r="B257" s="39" t="s">
        <v>0</v>
      </c>
      <c r="C257" s="39"/>
      <c r="D257" s="29" t="s">
        <v>1</v>
      </c>
      <c r="E257" s="29" t="s">
        <v>4</v>
      </c>
      <c r="F257" s="29" t="s">
        <v>2</v>
      </c>
      <c r="G257" s="21" t="s">
        <v>3</v>
      </c>
      <c r="H257" s="3"/>
    </row>
    <row r="258" spans="1:8" x14ac:dyDescent="0.2">
      <c r="A258" s="16" t="s">
        <v>17</v>
      </c>
      <c r="B258">
        <v>0</v>
      </c>
      <c r="C258">
        <v>0</v>
      </c>
      <c r="D258">
        <f>AVERAGE(B258:C258)</f>
        <v>0</v>
      </c>
      <c r="E258" s="4">
        <v>1</v>
      </c>
      <c r="F258" s="16">
        <f>1706.9-1673.1</f>
        <v>33.800000000000182</v>
      </c>
      <c r="G258" s="22" t="e">
        <f>LOG10(D258*100*E258/F258*1000)</f>
        <v>#NUM!</v>
      </c>
      <c r="H258" s="3"/>
    </row>
    <row r="259" spans="1:8" x14ac:dyDescent="0.2">
      <c r="A259" s="16" t="s">
        <v>18</v>
      </c>
      <c r="B259" s="17">
        <v>0</v>
      </c>
      <c r="C259" s="17">
        <v>0</v>
      </c>
      <c r="D259" s="17">
        <f t="shared" ref="D259:D272" si="43">AVERAGE(B259:C259)</f>
        <v>0</v>
      </c>
      <c r="E259" s="16">
        <v>1</v>
      </c>
      <c r="F259" s="4">
        <f>1782.1-1762.1</f>
        <v>20</v>
      </c>
      <c r="G259" s="22" t="e">
        <f>LOG10(D259*100*E259/F259*1000)</f>
        <v>#NUM!</v>
      </c>
    </row>
    <row r="260" spans="1:8" x14ac:dyDescent="0.2">
      <c r="A260" s="16" t="s">
        <v>19</v>
      </c>
      <c r="B260" s="17">
        <v>0</v>
      </c>
      <c r="C260" s="17">
        <v>0</v>
      </c>
      <c r="D260" s="17">
        <f t="shared" si="43"/>
        <v>0</v>
      </c>
      <c r="E260" s="16">
        <v>1</v>
      </c>
      <c r="F260" s="16">
        <f>1779.1-1748</f>
        <v>31.099999999999909</v>
      </c>
      <c r="G260" s="22" t="e">
        <f>LOG10(D260*100*E260/F260*1000)</f>
        <v>#NUM!</v>
      </c>
      <c r="H260" s="6"/>
    </row>
    <row r="261" spans="1:8" x14ac:dyDescent="0.2">
      <c r="A261" s="16" t="s">
        <v>20</v>
      </c>
      <c r="B261" s="17">
        <v>0</v>
      </c>
      <c r="C261" s="17">
        <v>0</v>
      </c>
      <c r="D261" s="17">
        <f t="shared" si="43"/>
        <v>0</v>
      </c>
      <c r="E261" s="16">
        <v>1</v>
      </c>
      <c r="F261" s="16">
        <f>1835.7-1806.4</f>
        <v>29.299999999999955</v>
      </c>
      <c r="G261" s="22" t="e">
        <f>LOG10(D261*100*E261/F261*1000)</f>
        <v>#NUM!</v>
      </c>
      <c r="H261" s="24"/>
    </row>
    <row r="262" spans="1:8" ht="17" x14ac:dyDescent="0.2">
      <c r="A262" s="27" t="s">
        <v>21</v>
      </c>
      <c r="B262" s="18">
        <v>0</v>
      </c>
      <c r="C262" s="18">
        <v>0</v>
      </c>
      <c r="D262" s="17">
        <f t="shared" si="43"/>
        <v>0</v>
      </c>
      <c r="E262" s="27">
        <v>1</v>
      </c>
      <c r="F262" s="27">
        <f>1803.3-1757.3</f>
        <v>46</v>
      </c>
      <c r="G262" s="22" t="e">
        <f t="shared" ref="G262:G272" si="44">LOG10(D262*100*E262/F262*1000)</f>
        <v>#NUM!</v>
      </c>
      <c r="H262" s="24"/>
    </row>
    <row r="263" spans="1:8" x14ac:dyDescent="0.2">
      <c r="A263" s="16" t="s">
        <v>16</v>
      </c>
      <c r="B263" s="17">
        <v>0</v>
      </c>
      <c r="C263" s="17">
        <v>0</v>
      </c>
      <c r="D263" s="17">
        <f t="shared" si="43"/>
        <v>0</v>
      </c>
      <c r="E263" s="16">
        <v>1</v>
      </c>
      <c r="F263" s="16">
        <f>1698.4-1642.7</f>
        <v>55.700000000000045</v>
      </c>
      <c r="G263" s="22" t="e">
        <f t="shared" si="44"/>
        <v>#NUM!</v>
      </c>
      <c r="H263" s="5"/>
    </row>
    <row r="264" spans="1:8" x14ac:dyDescent="0.2">
      <c r="A264" s="16" t="s">
        <v>14</v>
      </c>
      <c r="B264" s="17">
        <v>0</v>
      </c>
      <c r="C264" s="17">
        <v>0</v>
      </c>
      <c r="D264" s="17">
        <f t="shared" si="43"/>
        <v>0</v>
      </c>
      <c r="E264" s="16">
        <v>1</v>
      </c>
      <c r="F264" s="16">
        <f>1897.4-1871.5</f>
        <v>25.900000000000091</v>
      </c>
      <c r="G264" s="22" t="e">
        <f t="shared" si="44"/>
        <v>#NUM!</v>
      </c>
      <c r="H264" s="5"/>
    </row>
    <row r="265" spans="1:8" x14ac:dyDescent="0.2">
      <c r="A265" s="16" t="s">
        <v>58</v>
      </c>
      <c r="B265" s="17">
        <v>0</v>
      </c>
      <c r="C265" s="17">
        <v>0</v>
      </c>
      <c r="D265" s="17">
        <f t="shared" si="43"/>
        <v>0</v>
      </c>
      <c r="E265" s="16">
        <v>1</v>
      </c>
      <c r="F265" s="16">
        <f>1843-1804.6</f>
        <v>38.400000000000091</v>
      </c>
      <c r="G265" s="22" t="e">
        <f t="shared" si="44"/>
        <v>#NUM!</v>
      </c>
      <c r="H265" s="5"/>
    </row>
    <row r="266" spans="1:8" x14ac:dyDescent="0.2">
      <c r="A266" s="16" t="s">
        <v>56</v>
      </c>
      <c r="B266" s="17">
        <v>0</v>
      </c>
      <c r="C266" s="17">
        <v>0</v>
      </c>
      <c r="D266" s="17">
        <f t="shared" si="43"/>
        <v>0</v>
      </c>
      <c r="E266" s="16">
        <v>1</v>
      </c>
      <c r="F266" s="4">
        <f>1722.4-1675</f>
        <v>47.400000000000091</v>
      </c>
      <c r="G266" s="22" t="e">
        <f t="shared" si="44"/>
        <v>#NUM!</v>
      </c>
      <c r="H266" s="5"/>
    </row>
    <row r="267" spans="1:8" x14ac:dyDescent="0.2">
      <c r="A267" s="16" t="s">
        <v>57</v>
      </c>
      <c r="B267" s="17">
        <v>0</v>
      </c>
      <c r="C267" s="17">
        <v>0</v>
      </c>
      <c r="D267" s="17">
        <f t="shared" si="43"/>
        <v>0</v>
      </c>
      <c r="E267" s="16">
        <v>1</v>
      </c>
      <c r="F267" s="4">
        <f>1797.1-1783.7</f>
        <v>13.399999999999864</v>
      </c>
      <c r="G267" s="22" t="e">
        <f t="shared" si="44"/>
        <v>#NUM!</v>
      </c>
      <c r="H267" s="5"/>
    </row>
    <row r="268" spans="1:8" x14ac:dyDescent="0.2">
      <c r="A268" s="31" t="s">
        <v>59</v>
      </c>
      <c r="B268" s="32">
        <v>0</v>
      </c>
      <c r="C268" s="32">
        <v>0</v>
      </c>
      <c r="D268" s="17">
        <f t="shared" si="43"/>
        <v>0</v>
      </c>
      <c r="E268" s="31">
        <v>1</v>
      </c>
      <c r="F268" s="31">
        <f>1718.3-1655.1</f>
        <v>63.200000000000045</v>
      </c>
      <c r="G268" s="22" t="e">
        <f t="shared" si="44"/>
        <v>#NUM!</v>
      </c>
      <c r="H268" s="5"/>
    </row>
    <row r="269" spans="1:8" x14ac:dyDescent="0.2">
      <c r="A269" s="31" t="s">
        <v>60</v>
      </c>
      <c r="B269" s="32">
        <v>0</v>
      </c>
      <c r="C269" s="32"/>
      <c r="D269" s="17">
        <f t="shared" si="43"/>
        <v>0</v>
      </c>
      <c r="E269" s="31">
        <v>1</v>
      </c>
      <c r="F269" s="31">
        <f>1764.9-1641.1</f>
        <v>123.80000000000018</v>
      </c>
      <c r="G269" s="22" t="e">
        <f t="shared" si="44"/>
        <v>#NUM!</v>
      </c>
      <c r="H269" s="5"/>
    </row>
    <row r="270" spans="1:8" x14ac:dyDescent="0.2">
      <c r="A270" s="31" t="s">
        <v>61</v>
      </c>
      <c r="B270" s="32">
        <v>0</v>
      </c>
      <c r="C270" s="32"/>
      <c r="D270" s="17">
        <f t="shared" si="43"/>
        <v>0</v>
      </c>
      <c r="E270" s="31">
        <v>1</v>
      </c>
      <c r="F270" s="31">
        <f>1817.7-1681.7</f>
        <v>136</v>
      </c>
      <c r="G270" s="22" t="e">
        <f t="shared" si="44"/>
        <v>#NUM!</v>
      </c>
      <c r="H270" s="5"/>
    </row>
    <row r="271" spans="1:8" ht="17" x14ac:dyDescent="0.2">
      <c r="A271" s="27" t="s">
        <v>63</v>
      </c>
      <c r="B271" s="19">
        <v>0</v>
      </c>
      <c r="C271" s="19"/>
      <c r="D271" s="17">
        <f t="shared" si="43"/>
        <v>0</v>
      </c>
      <c r="E271" s="16">
        <v>1</v>
      </c>
      <c r="F271" s="16">
        <f>1913.1-1714.4</f>
        <v>198.69999999999982</v>
      </c>
      <c r="G271" s="22" t="e">
        <f t="shared" si="44"/>
        <v>#NUM!</v>
      </c>
      <c r="H271" s="5"/>
    </row>
    <row r="272" spans="1:8" x14ac:dyDescent="0.2">
      <c r="A272" s="16" t="s">
        <v>64</v>
      </c>
      <c r="B272" s="32">
        <v>0</v>
      </c>
      <c r="D272" s="17">
        <f t="shared" si="43"/>
        <v>0</v>
      </c>
      <c r="E272" s="4">
        <v>1</v>
      </c>
      <c r="F272" s="4">
        <f>1774.8-1685.9</f>
        <v>88.899999999999864</v>
      </c>
      <c r="G272" s="23" t="e">
        <f t="shared" si="44"/>
        <v>#NUM!</v>
      </c>
      <c r="H272" s="5"/>
    </row>
    <row r="273" spans="1:8" ht="51" x14ac:dyDescent="0.2">
      <c r="A273" s="30" t="s">
        <v>49</v>
      </c>
      <c r="B273" s="39" t="s">
        <v>0</v>
      </c>
      <c r="C273" s="39"/>
      <c r="D273" s="29" t="s">
        <v>1</v>
      </c>
      <c r="E273" s="29" t="s">
        <v>4</v>
      </c>
      <c r="F273" s="29" t="s">
        <v>2</v>
      </c>
      <c r="G273" s="21" t="s">
        <v>3</v>
      </c>
      <c r="H273" s="5"/>
    </row>
    <row r="274" spans="1:8" x14ac:dyDescent="0.2">
      <c r="A274" s="16" t="s">
        <v>17</v>
      </c>
      <c r="B274">
        <v>0</v>
      </c>
      <c r="C274">
        <v>0</v>
      </c>
      <c r="D274">
        <f>AVERAGE(B274:C274)</f>
        <v>0</v>
      </c>
      <c r="E274" s="4">
        <v>1</v>
      </c>
      <c r="F274" s="4">
        <f>1850.2-1815.6</f>
        <v>34.600000000000136</v>
      </c>
      <c r="G274" s="22" t="e">
        <f>LOG10(D274*100*E274/F274*1000)</f>
        <v>#NUM!</v>
      </c>
      <c r="H274" s="5"/>
    </row>
    <row r="275" spans="1:8" x14ac:dyDescent="0.2">
      <c r="A275" s="16" t="s">
        <v>18</v>
      </c>
      <c r="B275" s="17">
        <v>0</v>
      </c>
      <c r="C275" s="17">
        <v>0</v>
      </c>
      <c r="D275" s="17">
        <f t="shared" ref="D275:D286" si="45">AVERAGE(B275:C275)</f>
        <v>0</v>
      </c>
      <c r="E275" s="16">
        <v>1</v>
      </c>
      <c r="F275" s="16">
        <f>1878.5-1752.6</f>
        <v>125.90000000000009</v>
      </c>
      <c r="G275" s="22" t="e">
        <f>LOG10(D275*100*E275/F275*1000)</f>
        <v>#NUM!</v>
      </c>
      <c r="H275" s="5"/>
    </row>
    <row r="276" spans="1:8" x14ac:dyDescent="0.2">
      <c r="A276" s="16" t="s">
        <v>19</v>
      </c>
      <c r="B276" s="17">
        <v>0</v>
      </c>
      <c r="C276" s="17">
        <v>0</v>
      </c>
      <c r="D276" s="17">
        <f t="shared" si="45"/>
        <v>0</v>
      </c>
      <c r="E276" s="16">
        <v>1</v>
      </c>
      <c r="F276" s="16">
        <f>1643.9-1619.2</f>
        <v>24.700000000000045</v>
      </c>
      <c r="G276" s="22" t="e">
        <f t="shared" ref="G276:G288" si="46">LOG10(D276*100*E276/F276*1000)</f>
        <v>#NUM!</v>
      </c>
      <c r="H276" s="5"/>
    </row>
    <row r="277" spans="1:8" x14ac:dyDescent="0.2">
      <c r="A277" s="16" t="s">
        <v>20</v>
      </c>
      <c r="B277" s="17">
        <v>0</v>
      </c>
      <c r="C277" s="17">
        <v>0</v>
      </c>
      <c r="D277" s="17">
        <f t="shared" si="45"/>
        <v>0</v>
      </c>
      <c r="E277" s="16">
        <v>1</v>
      </c>
      <c r="F277" s="16">
        <f>1697.5-1649.1</f>
        <v>48.400000000000091</v>
      </c>
      <c r="G277" s="22" t="e">
        <f t="shared" si="46"/>
        <v>#NUM!</v>
      </c>
      <c r="H277" s="5"/>
    </row>
    <row r="278" spans="1:8" ht="17" x14ac:dyDescent="0.2">
      <c r="A278" s="27" t="s">
        <v>21</v>
      </c>
      <c r="B278" s="18">
        <v>0</v>
      </c>
      <c r="C278" s="18">
        <v>0</v>
      </c>
      <c r="D278" s="17">
        <f t="shared" si="45"/>
        <v>0</v>
      </c>
      <c r="E278" s="27">
        <v>1</v>
      </c>
      <c r="F278" s="27">
        <f>1763.9-1665.1</f>
        <v>98.800000000000182</v>
      </c>
      <c r="G278" s="22" t="e">
        <f t="shared" si="46"/>
        <v>#NUM!</v>
      </c>
      <c r="H278" s="5"/>
    </row>
    <row r="279" spans="1:8" x14ac:dyDescent="0.2">
      <c r="A279" s="16" t="s">
        <v>16</v>
      </c>
      <c r="B279" s="17">
        <v>0</v>
      </c>
      <c r="C279" s="17">
        <v>0</v>
      </c>
      <c r="D279" s="17">
        <f t="shared" si="45"/>
        <v>0</v>
      </c>
      <c r="E279" s="16">
        <v>1</v>
      </c>
      <c r="F279" s="16">
        <f>1774.1-1727.1</f>
        <v>47</v>
      </c>
      <c r="G279" s="22" t="e">
        <f t="shared" si="46"/>
        <v>#NUM!</v>
      </c>
      <c r="H279" s="5"/>
    </row>
    <row r="280" spans="1:8" x14ac:dyDescent="0.2">
      <c r="A280" s="16" t="s">
        <v>14</v>
      </c>
      <c r="B280" s="17">
        <v>0</v>
      </c>
      <c r="C280" s="17">
        <v>0</v>
      </c>
      <c r="D280" s="17">
        <f t="shared" si="45"/>
        <v>0</v>
      </c>
      <c r="E280" s="16">
        <v>1</v>
      </c>
      <c r="F280" s="16">
        <f>1732.3-1688.7</f>
        <v>43.599999999999909</v>
      </c>
      <c r="G280" s="22" t="e">
        <f t="shared" si="46"/>
        <v>#NUM!</v>
      </c>
      <c r="H280" s="5"/>
    </row>
    <row r="281" spans="1:8" x14ac:dyDescent="0.2">
      <c r="A281" s="16" t="s">
        <v>53</v>
      </c>
      <c r="B281" s="17">
        <v>0</v>
      </c>
      <c r="C281" s="17">
        <v>0</v>
      </c>
      <c r="D281" s="17">
        <f t="shared" si="45"/>
        <v>0</v>
      </c>
      <c r="E281" s="16">
        <v>1</v>
      </c>
      <c r="F281" s="16">
        <f>1743-1731</f>
        <v>12</v>
      </c>
      <c r="G281" s="22" t="e">
        <f t="shared" si="46"/>
        <v>#NUM!</v>
      </c>
      <c r="H281" s="5"/>
    </row>
    <row r="282" spans="1:8" x14ac:dyDescent="0.2">
      <c r="A282" s="16" t="s">
        <v>56</v>
      </c>
      <c r="B282" s="17">
        <v>0</v>
      </c>
      <c r="C282" s="17">
        <v>0</v>
      </c>
      <c r="D282" s="17">
        <f>AVERAGE(B282:C282)</f>
        <v>0</v>
      </c>
      <c r="E282" s="16">
        <v>1</v>
      </c>
      <c r="F282" s="4">
        <f>1691.9-1664.1</f>
        <v>27.800000000000182</v>
      </c>
      <c r="G282" s="22" t="e">
        <f t="shared" si="46"/>
        <v>#NUM!</v>
      </c>
      <c r="H282" s="5"/>
    </row>
    <row r="283" spans="1:8" x14ac:dyDescent="0.2">
      <c r="A283" s="16" t="s">
        <v>57</v>
      </c>
      <c r="B283" s="17">
        <v>0</v>
      </c>
      <c r="C283" s="17">
        <v>0</v>
      </c>
      <c r="D283" s="17">
        <f t="shared" si="45"/>
        <v>0</v>
      </c>
      <c r="E283" s="4">
        <v>1</v>
      </c>
      <c r="F283" s="4">
        <f>1757.3-1728.9</f>
        <v>28.399999999999864</v>
      </c>
      <c r="G283" s="22" t="e">
        <f t="shared" si="46"/>
        <v>#NUM!</v>
      </c>
      <c r="H283" s="5"/>
    </row>
    <row r="284" spans="1:8" x14ac:dyDescent="0.2">
      <c r="A284" s="31" t="s">
        <v>59</v>
      </c>
      <c r="B284" s="32">
        <v>0</v>
      </c>
      <c r="C284" s="32">
        <v>0</v>
      </c>
      <c r="D284" s="17">
        <f t="shared" si="45"/>
        <v>0</v>
      </c>
      <c r="E284" s="31">
        <v>1</v>
      </c>
      <c r="F284" s="31">
        <f>1690.2-1605.9</f>
        <v>84.299999999999955</v>
      </c>
      <c r="G284" s="22" t="e">
        <f t="shared" si="46"/>
        <v>#NUM!</v>
      </c>
      <c r="H284" s="5"/>
    </row>
    <row r="285" spans="1:8" x14ac:dyDescent="0.2">
      <c r="A285" s="31" t="s">
        <v>60</v>
      </c>
      <c r="B285" s="32">
        <v>0</v>
      </c>
      <c r="C285" s="32"/>
      <c r="D285" s="17">
        <f t="shared" si="45"/>
        <v>0</v>
      </c>
      <c r="E285" s="31">
        <v>1</v>
      </c>
      <c r="F285" s="31">
        <f>1720.6-1637.8</f>
        <v>82.799999999999955</v>
      </c>
      <c r="G285" s="22" t="e">
        <f t="shared" si="46"/>
        <v>#NUM!</v>
      </c>
      <c r="H285" s="5"/>
    </row>
    <row r="286" spans="1:8" x14ac:dyDescent="0.2">
      <c r="A286" s="31" t="s">
        <v>61</v>
      </c>
      <c r="B286" s="32">
        <v>0</v>
      </c>
      <c r="C286" s="32"/>
      <c r="D286" s="17">
        <f t="shared" si="45"/>
        <v>0</v>
      </c>
      <c r="E286" s="31">
        <v>1</v>
      </c>
      <c r="F286" s="31">
        <f>1832.7-1732.5</f>
        <v>100.20000000000005</v>
      </c>
      <c r="G286" s="22" t="e">
        <f t="shared" si="46"/>
        <v>#NUM!</v>
      </c>
      <c r="H286" s="5"/>
    </row>
    <row r="287" spans="1:8" x14ac:dyDescent="0.2">
      <c r="A287" s="16" t="s">
        <v>63</v>
      </c>
      <c r="B287" s="32">
        <v>0</v>
      </c>
      <c r="E287" s="4">
        <v>1</v>
      </c>
      <c r="F287" s="4">
        <f>1883.5-1713.7</f>
        <v>169.79999999999995</v>
      </c>
      <c r="G287" s="22" t="e">
        <f t="shared" si="46"/>
        <v>#NUM!</v>
      </c>
      <c r="H287" s="5"/>
    </row>
    <row r="288" spans="1:8" x14ac:dyDescent="0.2">
      <c r="A288" s="16" t="s">
        <v>64</v>
      </c>
      <c r="B288" s="32">
        <v>0</v>
      </c>
      <c r="E288" s="4">
        <v>1</v>
      </c>
      <c r="F288" s="4">
        <f>1742.7-1661</f>
        <v>81.700000000000045</v>
      </c>
      <c r="G288" s="22" t="e">
        <f t="shared" si="46"/>
        <v>#NUM!</v>
      </c>
      <c r="H288" s="5"/>
    </row>
    <row r="289" spans="1:8" ht="51" x14ac:dyDescent="0.2">
      <c r="A289" s="30" t="s">
        <v>50</v>
      </c>
      <c r="B289" s="39" t="s">
        <v>0</v>
      </c>
      <c r="C289" s="39"/>
      <c r="D289" s="29" t="s">
        <v>1</v>
      </c>
      <c r="E289" s="29" t="s">
        <v>4</v>
      </c>
      <c r="F289" s="29" t="s">
        <v>2</v>
      </c>
      <c r="G289" s="21" t="s">
        <v>3</v>
      </c>
      <c r="H289" s="5"/>
    </row>
    <row r="290" spans="1:8" x14ac:dyDescent="0.2">
      <c r="A290" s="16" t="s">
        <v>17</v>
      </c>
      <c r="B290">
        <v>0</v>
      </c>
      <c r="C290">
        <v>0</v>
      </c>
      <c r="D290">
        <f>AVERAGE(B290:C290)</f>
        <v>0</v>
      </c>
      <c r="E290" s="4">
        <v>1</v>
      </c>
      <c r="F290" s="4">
        <f>1768.9-1754.2</f>
        <v>14.700000000000045</v>
      </c>
      <c r="G290" s="22" t="e">
        <f>LOG10(D290*100*E290/F290*1000)</f>
        <v>#NUM!</v>
      </c>
      <c r="H290" s="5"/>
    </row>
    <row r="291" spans="1:8" x14ac:dyDescent="0.2">
      <c r="A291" s="16" t="s">
        <v>18</v>
      </c>
      <c r="B291" s="17">
        <v>0</v>
      </c>
      <c r="C291" s="17">
        <v>0</v>
      </c>
      <c r="D291" s="17">
        <f t="shared" ref="D291:D304" si="47">AVERAGE(B291:C291)</f>
        <v>0</v>
      </c>
      <c r="E291" s="16">
        <v>1</v>
      </c>
      <c r="F291" s="16">
        <f>1823-1798.1</f>
        <v>24.900000000000091</v>
      </c>
      <c r="G291" s="22" t="e">
        <f>LOG10(D291*100*E291/F291*1000)</f>
        <v>#NUM!</v>
      </c>
      <c r="H291" s="5"/>
    </row>
    <row r="292" spans="1:8" x14ac:dyDescent="0.2">
      <c r="A292" s="16" t="s">
        <v>19</v>
      </c>
      <c r="B292" s="17">
        <v>0</v>
      </c>
      <c r="C292" s="17">
        <v>0</v>
      </c>
      <c r="D292" s="17">
        <f t="shared" si="47"/>
        <v>0</v>
      </c>
      <c r="E292" s="16">
        <v>1</v>
      </c>
      <c r="F292" s="16">
        <f>1699.6-1679.2</f>
        <v>20.399999999999864</v>
      </c>
      <c r="G292" s="22" t="e">
        <f t="shared" ref="G292:G304" si="48">LOG10(D292*100*E292/F292*1000)</f>
        <v>#NUM!</v>
      </c>
      <c r="H292" s="5"/>
    </row>
    <row r="293" spans="1:8" x14ac:dyDescent="0.2">
      <c r="A293" s="16" t="s">
        <v>20</v>
      </c>
      <c r="B293" s="17">
        <v>0</v>
      </c>
      <c r="C293" s="17">
        <v>0</v>
      </c>
      <c r="D293" s="17">
        <f t="shared" si="47"/>
        <v>0</v>
      </c>
      <c r="E293" s="16">
        <v>1</v>
      </c>
      <c r="F293" s="16">
        <f>1795.7-1754.9</f>
        <v>40.799999999999955</v>
      </c>
      <c r="G293" s="22" t="e">
        <f t="shared" si="48"/>
        <v>#NUM!</v>
      </c>
      <c r="H293" s="3"/>
    </row>
    <row r="294" spans="1:8" ht="17" x14ac:dyDescent="0.2">
      <c r="A294" s="27" t="s">
        <v>21</v>
      </c>
      <c r="B294" s="18">
        <v>0</v>
      </c>
      <c r="C294" s="18">
        <v>0</v>
      </c>
      <c r="D294" s="17">
        <f t="shared" si="47"/>
        <v>0</v>
      </c>
      <c r="E294" s="27">
        <v>1</v>
      </c>
      <c r="F294" s="27">
        <f>1751.6-1722.6</f>
        <v>29</v>
      </c>
      <c r="G294" s="22" t="e">
        <f t="shared" si="48"/>
        <v>#NUM!</v>
      </c>
      <c r="H294" s="3"/>
    </row>
    <row r="295" spans="1:8" x14ac:dyDescent="0.2">
      <c r="A295" s="16" t="s">
        <v>16</v>
      </c>
      <c r="B295" s="17">
        <v>0</v>
      </c>
      <c r="C295" s="17">
        <v>0</v>
      </c>
      <c r="D295" s="17">
        <f t="shared" si="47"/>
        <v>0</v>
      </c>
      <c r="E295" s="16">
        <v>1</v>
      </c>
      <c r="F295" s="16">
        <f>1665.5-1649.2</f>
        <v>16.299999999999955</v>
      </c>
      <c r="G295" s="22" t="e">
        <f t="shared" si="48"/>
        <v>#NUM!</v>
      </c>
      <c r="H295" s="3"/>
    </row>
    <row r="296" spans="1:8" x14ac:dyDescent="0.2">
      <c r="A296" s="16" t="s">
        <v>14</v>
      </c>
      <c r="B296" s="17">
        <v>0</v>
      </c>
      <c r="C296" s="17">
        <v>0</v>
      </c>
      <c r="D296" s="17">
        <f t="shared" si="47"/>
        <v>0</v>
      </c>
      <c r="E296" s="16">
        <v>1</v>
      </c>
      <c r="F296" s="16">
        <f>1751.6-1734.6</f>
        <v>17</v>
      </c>
      <c r="G296" s="22" t="e">
        <f t="shared" si="48"/>
        <v>#NUM!</v>
      </c>
    </row>
    <row r="297" spans="1:8" x14ac:dyDescent="0.2">
      <c r="A297" s="16" t="s">
        <v>58</v>
      </c>
      <c r="B297" s="17">
        <v>0</v>
      </c>
      <c r="C297" s="17">
        <v>0</v>
      </c>
      <c r="D297" s="17">
        <f t="shared" si="47"/>
        <v>0</v>
      </c>
      <c r="E297" s="16">
        <v>1</v>
      </c>
      <c r="F297" s="16">
        <f>1661.7-1649.8</f>
        <v>11.900000000000091</v>
      </c>
      <c r="G297" s="22" t="e">
        <f t="shared" si="48"/>
        <v>#NUM!</v>
      </c>
      <c r="H297" s="6"/>
    </row>
    <row r="298" spans="1:8" x14ac:dyDescent="0.2">
      <c r="A298" s="16" t="s">
        <v>56</v>
      </c>
      <c r="B298" s="17">
        <v>0</v>
      </c>
      <c r="C298" s="17">
        <v>0</v>
      </c>
      <c r="D298" s="17">
        <f t="shared" si="47"/>
        <v>0</v>
      </c>
      <c r="E298" s="16">
        <v>1</v>
      </c>
      <c r="F298" s="4">
        <f>1697.2-1651.7</f>
        <v>45.5</v>
      </c>
      <c r="G298" s="22" t="e">
        <f t="shared" si="48"/>
        <v>#NUM!</v>
      </c>
      <c r="H298" s="3"/>
    </row>
    <row r="299" spans="1:8" x14ac:dyDescent="0.2">
      <c r="A299" s="16" t="s">
        <v>57</v>
      </c>
      <c r="B299" s="17">
        <v>0</v>
      </c>
      <c r="C299" s="17">
        <v>0</v>
      </c>
      <c r="D299" s="17">
        <f t="shared" si="47"/>
        <v>0</v>
      </c>
      <c r="E299" s="16">
        <v>1</v>
      </c>
      <c r="F299" s="4">
        <f>1843.5-1803.6</f>
        <v>39.900000000000091</v>
      </c>
      <c r="G299" s="22" t="e">
        <f t="shared" si="48"/>
        <v>#NUM!</v>
      </c>
      <c r="H299" s="3"/>
    </row>
    <row r="300" spans="1:8" x14ac:dyDescent="0.2">
      <c r="A300" s="31" t="s">
        <v>59</v>
      </c>
      <c r="B300" s="32">
        <v>0</v>
      </c>
      <c r="C300" s="32">
        <v>0</v>
      </c>
      <c r="D300" s="17">
        <f t="shared" si="47"/>
        <v>0</v>
      </c>
      <c r="E300" s="31">
        <v>1</v>
      </c>
      <c r="F300" s="31">
        <f>1735.4-1703.4</f>
        <v>32</v>
      </c>
      <c r="G300" s="22" t="e">
        <f t="shared" si="48"/>
        <v>#NUM!</v>
      </c>
      <c r="H300" s="3"/>
    </row>
    <row r="301" spans="1:8" x14ac:dyDescent="0.2">
      <c r="A301" s="31" t="s">
        <v>60</v>
      </c>
      <c r="B301" s="32">
        <v>0</v>
      </c>
      <c r="C301" s="32"/>
      <c r="D301" s="17">
        <f t="shared" si="47"/>
        <v>0</v>
      </c>
      <c r="E301" s="31">
        <v>1</v>
      </c>
      <c r="F301" s="31">
        <f>1731.8-1635.4</f>
        <v>96.399999999999864</v>
      </c>
      <c r="G301" s="22" t="e">
        <f t="shared" si="48"/>
        <v>#NUM!</v>
      </c>
      <c r="H301" s="3"/>
    </row>
    <row r="302" spans="1:8" x14ac:dyDescent="0.2">
      <c r="A302" s="31" t="s">
        <v>61</v>
      </c>
      <c r="B302" s="32">
        <v>0</v>
      </c>
      <c r="C302" s="32"/>
      <c r="D302" s="17">
        <f t="shared" si="47"/>
        <v>0</v>
      </c>
      <c r="E302" s="31">
        <v>1</v>
      </c>
      <c r="F302" s="31">
        <f>1814.4-1734.3</f>
        <v>80.100000000000136</v>
      </c>
      <c r="G302" s="22" t="e">
        <f t="shared" si="48"/>
        <v>#NUM!</v>
      </c>
      <c r="H302" s="3"/>
    </row>
    <row r="303" spans="1:8" x14ac:dyDescent="0.2">
      <c r="A303" s="16" t="s">
        <v>63</v>
      </c>
      <c r="B303" s="32">
        <v>0</v>
      </c>
      <c r="C303" s="17"/>
      <c r="D303" s="17">
        <f t="shared" si="47"/>
        <v>0</v>
      </c>
      <c r="E303" s="16">
        <v>1</v>
      </c>
      <c r="F303" s="4">
        <f>1669.7-1609</f>
        <v>60.700000000000045</v>
      </c>
      <c r="G303" s="22" t="e">
        <f t="shared" si="48"/>
        <v>#NUM!</v>
      </c>
      <c r="H303" s="3"/>
    </row>
    <row r="304" spans="1:8" x14ac:dyDescent="0.2">
      <c r="A304" s="16" t="s">
        <v>64</v>
      </c>
      <c r="B304" s="32">
        <v>0</v>
      </c>
      <c r="C304" s="17"/>
      <c r="D304" s="17">
        <f t="shared" si="47"/>
        <v>0</v>
      </c>
      <c r="E304" s="4">
        <v>1</v>
      </c>
      <c r="F304" s="4">
        <f>1837.8-1806.2</f>
        <v>31.599999999999909</v>
      </c>
      <c r="G304" s="22" t="e">
        <f t="shared" si="48"/>
        <v>#NUM!</v>
      </c>
      <c r="H304" s="3"/>
    </row>
    <row r="305" spans="1:8" ht="51" x14ac:dyDescent="0.2">
      <c r="A305" s="30" t="s">
        <v>51</v>
      </c>
      <c r="B305" s="39" t="s">
        <v>0</v>
      </c>
      <c r="C305" s="39"/>
      <c r="D305" s="29" t="s">
        <v>1</v>
      </c>
      <c r="E305" s="29" t="s">
        <v>4</v>
      </c>
      <c r="F305" s="29" t="s">
        <v>2</v>
      </c>
      <c r="G305" s="21" t="s">
        <v>3</v>
      </c>
      <c r="H305" s="3"/>
    </row>
    <row r="306" spans="1:8" x14ac:dyDescent="0.2">
      <c r="A306" s="16" t="s">
        <v>17</v>
      </c>
      <c r="B306" s="17">
        <v>0</v>
      </c>
      <c r="C306">
        <v>0</v>
      </c>
      <c r="D306">
        <f>AVERAGE(B306:C306)</f>
        <v>0</v>
      </c>
      <c r="E306" s="4">
        <v>1</v>
      </c>
      <c r="F306" s="4">
        <f>1857.4-1816.5</f>
        <v>40.900000000000091</v>
      </c>
      <c r="G306" s="22" t="e">
        <f>LOG10(D306*100*E306/F306*1000)</f>
        <v>#NUM!</v>
      </c>
      <c r="H306" s="3"/>
    </row>
    <row r="307" spans="1:8" x14ac:dyDescent="0.2">
      <c r="A307" s="16" t="s">
        <v>18</v>
      </c>
      <c r="B307">
        <v>0</v>
      </c>
      <c r="C307" s="17">
        <v>0</v>
      </c>
      <c r="D307" s="17">
        <f t="shared" ref="D307:D320" si="49">AVERAGE(B307:C307)</f>
        <v>0</v>
      </c>
      <c r="E307" s="16">
        <v>1</v>
      </c>
      <c r="F307" s="16">
        <f>1736.7-1723</f>
        <v>13.700000000000045</v>
      </c>
      <c r="G307" s="22" t="e">
        <f>LOG10(D307*100*E307/F307*1000)</f>
        <v>#NUM!</v>
      </c>
      <c r="H307" s="3"/>
    </row>
    <row r="308" spans="1:8" x14ac:dyDescent="0.2">
      <c r="A308" s="16" t="s">
        <v>19</v>
      </c>
      <c r="B308" s="17">
        <v>0</v>
      </c>
      <c r="C308" s="17">
        <v>0</v>
      </c>
      <c r="D308" s="17">
        <f t="shared" si="49"/>
        <v>0</v>
      </c>
      <c r="E308" s="16">
        <v>1</v>
      </c>
      <c r="F308" s="16">
        <f>1727.3-1690.6</f>
        <v>36.700000000000045</v>
      </c>
      <c r="G308" s="22" t="e">
        <f t="shared" ref="G308" si="50">LOG10(D308*100*E308/F308*1000)</f>
        <v>#NUM!</v>
      </c>
      <c r="H308" s="3"/>
    </row>
    <row r="309" spans="1:8" x14ac:dyDescent="0.2">
      <c r="A309" s="16" t="s">
        <v>20</v>
      </c>
      <c r="B309" s="17">
        <v>0</v>
      </c>
      <c r="C309" s="17">
        <v>0</v>
      </c>
      <c r="D309" s="17">
        <f t="shared" si="49"/>
        <v>0</v>
      </c>
      <c r="E309" s="4">
        <v>1</v>
      </c>
      <c r="F309" s="37">
        <f>1823.7-1723.5</f>
        <v>100.20000000000005</v>
      </c>
      <c r="G309" s="22" t="e">
        <f>LOG10(D309*100*E310/F309*1000)</f>
        <v>#NUM!</v>
      </c>
      <c r="H309" s="3"/>
    </row>
    <row r="310" spans="1:8" ht="17" x14ac:dyDescent="0.2">
      <c r="A310" s="27" t="s">
        <v>21</v>
      </c>
      <c r="B310" s="18">
        <v>0</v>
      </c>
      <c r="C310" s="18">
        <v>0</v>
      </c>
      <c r="D310" s="17">
        <f t="shared" si="49"/>
        <v>0</v>
      </c>
      <c r="E310" s="16">
        <v>1</v>
      </c>
      <c r="F310" s="27">
        <f>1826.4-1763.4</f>
        <v>63</v>
      </c>
      <c r="G310" s="22" t="e">
        <f>LOG10(D310*100*E311/F310*1000)</f>
        <v>#NUM!</v>
      </c>
      <c r="H310" s="3"/>
    </row>
    <row r="311" spans="1:8" x14ac:dyDescent="0.2">
      <c r="A311" s="16" t="s">
        <v>16</v>
      </c>
      <c r="B311" s="17">
        <v>0</v>
      </c>
      <c r="C311" s="17">
        <v>0</v>
      </c>
      <c r="D311" s="17">
        <f t="shared" si="49"/>
        <v>0</v>
      </c>
      <c r="E311" s="16">
        <v>1</v>
      </c>
      <c r="F311" s="37">
        <f>1779.5-1743.2</f>
        <v>36.299999999999955</v>
      </c>
      <c r="G311" s="22" t="e">
        <f t="shared" ref="G311:G320" si="51">LOG10(D311*100*E311/F311*1000)</f>
        <v>#NUM!</v>
      </c>
      <c r="H311" s="3"/>
    </row>
    <row r="312" spans="1:8" x14ac:dyDescent="0.2">
      <c r="A312" s="16" t="s">
        <v>14</v>
      </c>
      <c r="B312" s="17">
        <v>0</v>
      </c>
      <c r="C312" s="17">
        <v>0</v>
      </c>
      <c r="D312" s="17">
        <f t="shared" si="49"/>
        <v>0</v>
      </c>
      <c r="E312" s="16">
        <v>1</v>
      </c>
      <c r="F312" s="37">
        <f>1671.1-1638.7</f>
        <v>32.399999999999864</v>
      </c>
      <c r="G312" s="22" t="e">
        <f t="shared" si="51"/>
        <v>#NUM!</v>
      </c>
      <c r="H312" s="3"/>
    </row>
    <row r="313" spans="1:8" x14ac:dyDescent="0.2">
      <c r="A313" s="4" t="s">
        <v>53</v>
      </c>
      <c r="B313" s="17">
        <v>0</v>
      </c>
      <c r="C313" s="17">
        <v>0</v>
      </c>
      <c r="D313" s="17">
        <f t="shared" si="49"/>
        <v>0</v>
      </c>
      <c r="E313" s="16">
        <v>1</v>
      </c>
      <c r="F313" s="1">
        <f>1751.5-1679.3</f>
        <v>72.200000000000045</v>
      </c>
      <c r="G313" s="22" t="e">
        <f t="shared" si="51"/>
        <v>#NUM!</v>
      </c>
      <c r="H313" s="3"/>
    </row>
    <row r="314" spans="1:8" x14ac:dyDescent="0.2">
      <c r="A314" s="4" t="s">
        <v>56</v>
      </c>
      <c r="B314" s="17">
        <v>0</v>
      </c>
      <c r="C314" s="17">
        <v>0</v>
      </c>
      <c r="D314" s="17">
        <f t="shared" si="49"/>
        <v>0</v>
      </c>
      <c r="E314" s="16">
        <v>1</v>
      </c>
      <c r="F314" s="1">
        <f>1732.1-1666.9</f>
        <v>65.199999999999818</v>
      </c>
      <c r="G314" s="22" t="e">
        <f t="shared" si="51"/>
        <v>#NUM!</v>
      </c>
      <c r="H314" s="3"/>
    </row>
    <row r="315" spans="1:8" x14ac:dyDescent="0.2">
      <c r="A315" s="4" t="s">
        <v>57</v>
      </c>
      <c r="B315" s="17">
        <v>0</v>
      </c>
      <c r="C315" s="17">
        <v>0</v>
      </c>
      <c r="D315" s="17">
        <f t="shared" si="49"/>
        <v>0</v>
      </c>
      <c r="E315" s="16">
        <v>1</v>
      </c>
      <c r="F315" s="1">
        <f>1897.7-1781.1</f>
        <v>116.60000000000014</v>
      </c>
      <c r="G315" s="22" t="e">
        <f t="shared" si="51"/>
        <v>#NUM!</v>
      </c>
      <c r="H315" s="3"/>
    </row>
    <row r="316" spans="1:8" x14ac:dyDescent="0.2">
      <c r="A316" s="31" t="s">
        <v>59</v>
      </c>
      <c r="B316" s="32">
        <v>0</v>
      </c>
      <c r="C316" s="32">
        <v>0</v>
      </c>
      <c r="D316" s="17">
        <f t="shared" si="49"/>
        <v>0</v>
      </c>
      <c r="E316" s="31">
        <v>1</v>
      </c>
      <c r="F316" s="38">
        <f>1750.8-1667.7</f>
        <v>83.099999999999909</v>
      </c>
      <c r="G316" s="22" t="e">
        <f t="shared" si="51"/>
        <v>#NUM!</v>
      </c>
      <c r="H316" s="3"/>
    </row>
    <row r="317" spans="1:8" x14ac:dyDescent="0.2">
      <c r="A317" s="31" t="s">
        <v>60</v>
      </c>
      <c r="B317" s="32">
        <v>0</v>
      </c>
      <c r="C317" s="32"/>
      <c r="D317" s="17">
        <f t="shared" si="49"/>
        <v>0</v>
      </c>
      <c r="E317" s="31">
        <v>1</v>
      </c>
      <c r="F317" s="38">
        <f>1944.4-1799.4</f>
        <v>145</v>
      </c>
      <c r="G317" s="22" t="e">
        <f t="shared" si="51"/>
        <v>#NUM!</v>
      </c>
      <c r="H317" s="3"/>
    </row>
    <row r="318" spans="1:8" x14ac:dyDescent="0.2">
      <c r="A318" s="31" t="s">
        <v>61</v>
      </c>
      <c r="B318" s="32">
        <v>0</v>
      </c>
      <c r="C318" s="32"/>
      <c r="D318" s="17">
        <f t="shared" si="49"/>
        <v>0</v>
      </c>
      <c r="E318" s="31">
        <v>1</v>
      </c>
      <c r="F318" s="38">
        <f>1877.9-1709.1</f>
        <v>168.80000000000018</v>
      </c>
      <c r="G318" s="22" t="e">
        <f t="shared" si="51"/>
        <v>#NUM!</v>
      </c>
      <c r="H318" s="3"/>
    </row>
    <row r="319" spans="1:8" x14ac:dyDescent="0.2">
      <c r="A319" s="4" t="s">
        <v>63</v>
      </c>
      <c r="B319" s="32">
        <v>0</v>
      </c>
      <c r="D319" s="17">
        <f t="shared" si="49"/>
        <v>0</v>
      </c>
      <c r="E319" s="31">
        <v>1</v>
      </c>
      <c r="F319" s="1">
        <f>1892.2-1695</f>
        <v>197.20000000000005</v>
      </c>
      <c r="G319" s="3" t="e">
        <f t="shared" si="51"/>
        <v>#NUM!</v>
      </c>
      <c r="H319" s="3"/>
    </row>
    <row r="320" spans="1:8" x14ac:dyDescent="0.2">
      <c r="A320" s="4" t="s">
        <v>64</v>
      </c>
      <c r="B320" s="32">
        <v>0</v>
      </c>
      <c r="D320" s="17">
        <f t="shared" si="49"/>
        <v>0</v>
      </c>
      <c r="E320" s="31">
        <v>1</v>
      </c>
      <c r="F320" s="1">
        <f>1819.7-1677.7</f>
        <v>142</v>
      </c>
      <c r="G320" s="3" t="e">
        <f t="shared" si="51"/>
        <v>#NUM!</v>
      </c>
      <c r="H320" s="3"/>
    </row>
    <row r="321" spans="1:8" x14ac:dyDescent="0.2">
      <c r="A321" s="4"/>
      <c r="G321" s="3"/>
      <c r="H321" s="3"/>
    </row>
  </sheetData>
  <mergeCells count="20"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17:C17"/>
    <mergeCell ref="B33:C33"/>
    <mergeCell ref="B49:C49"/>
    <mergeCell ref="B65:C65"/>
    <mergeCell ref="B81:C81"/>
    <mergeCell ref="B97:C97"/>
    <mergeCell ref="B113:C113"/>
    <mergeCell ref="B129:C129"/>
    <mergeCell ref="B145:C145"/>
    <mergeCell ref="B161:C16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 10^5.5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2021-03-24T20:55:00Z</dcterms:modified>
</cp:coreProperties>
</file>