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4/Mouse GI carriage/"/>
    </mc:Choice>
  </mc:AlternateContent>
  <xr:revisionPtr revIDLastSave="0" documentId="13_ncr:1_{1B2B2126-4E03-6546-9C7E-BF68C241E3DC}" xr6:coauthVersionLast="47" xr6:coauthVersionMax="47" xr10:uidLastSave="{00000000-0000-0000-0000-000000000000}"/>
  <bookViews>
    <workbookView xWindow="35840" yWindow="660" windowWidth="28800" windowHeight="17500" activeTab="1" xr2:uid="{05D28018-5EC7-B748-ACA7-09DD0AD3B70C}"/>
  </bookViews>
  <sheets>
    <sheet name="48 48pscJdel" sheetId="6" r:id="rId1"/>
    <sheet name="12 48LacZ" sheetId="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8" i="9" l="1"/>
  <c r="N24" i="9"/>
  <c r="N25" i="9"/>
  <c r="N26" i="9"/>
  <c r="N27" i="9"/>
  <c r="N28" i="9"/>
  <c r="N31" i="9"/>
  <c r="N32" i="9"/>
  <c r="N33" i="9"/>
  <c r="N34" i="9"/>
  <c r="N39" i="9"/>
  <c r="N40" i="9"/>
  <c r="N41" i="9"/>
  <c r="N42" i="9"/>
  <c r="N45" i="9"/>
  <c r="N46" i="9"/>
  <c r="N47" i="9"/>
  <c r="N48" i="9"/>
  <c r="N49" i="9"/>
  <c r="M24" i="9"/>
  <c r="M25" i="9"/>
  <c r="M26" i="9"/>
  <c r="M27" i="9"/>
  <c r="M28" i="9"/>
  <c r="M31" i="9"/>
  <c r="M32" i="9"/>
  <c r="M33" i="9"/>
  <c r="M34" i="9"/>
  <c r="M38" i="9"/>
  <c r="M39" i="9"/>
  <c r="M40" i="9"/>
  <c r="M41" i="9"/>
  <c r="M42" i="9"/>
  <c r="M45" i="9"/>
  <c r="M46" i="9"/>
  <c r="M47" i="9"/>
  <c r="M48" i="9"/>
  <c r="M49" i="9"/>
  <c r="N18" i="9"/>
  <c r="N19" i="9"/>
  <c r="N20" i="9"/>
  <c r="N21" i="9"/>
  <c r="N17" i="9"/>
  <c r="M18" i="9"/>
  <c r="M19" i="9"/>
  <c r="M20" i="9"/>
  <c r="M21" i="9"/>
  <c r="M17" i="9"/>
  <c r="K17" i="9"/>
  <c r="K11" i="9"/>
  <c r="F49" i="9"/>
  <c r="F42" i="9"/>
  <c r="F28" i="9"/>
  <c r="F21" i="9"/>
  <c r="F49" i="6"/>
  <c r="F42" i="6"/>
  <c r="F35" i="6"/>
  <c r="F28" i="6"/>
  <c r="F21" i="6"/>
  <c r="F48" i="9"/>
  <c r="F47" i="9"/>
  <c r="F46" i="9"/>
  <c r="F45" i="9"/>
  <c r="F41" i="9"/>
  <c r="F40" i="9"/>
  <c r="F39" i="9"/>
  <c r="F38" i="9"/>
  <c r="F34" i="9"/>
  <c r="F33" i="9"/>
  <c r="F32" i="9"/>
  <c r="F31" i="9"/>
  <c r="F27" i="9"/>
  <c r="F26" i="9"/>
  <c r="F25" i="9"/>
  <c r="F24" i="9"/>
  <c r="F20" i="9"/>
  <c r="F19" i="9"/>
  <c r="F18" i="9"/>
  <c r="F17" i="9"/>
  <c r="F48" i="6"/>
  <c r="F47" i="6"/>
  <c r="F46" i="6"/>
  <c r="F45" i="6"/>
  <c r="F41" i="6"/>
  <c r="F40" i="6"/>
  <c r="D40" i="6"/>
  <c r="F39" i="6"/>
  <c r="F38" i="6"/>
  <c r="F34" i="6"/>
  <c r="F33" i="6"/>
  <c r="F32" i="6"/>
  <c r="F31" i="6"/>
  <c r="F27" i="6"/>
  <c r="F26" i="6"/>
  <c r="F25" i="6"/>
  <c r="F24" i="6"/>
  <c r="F20" i="6"/>
  <c r="F19" i="6"/>
  <c r="F18" i="6"/>
  <c r="L17" i="6"/>
  <c r="K17" i="6"/>
  <c r="F17" i="6"/>
  <c r="J49" i="9"/>
  <c r="D49" i="9"/>
  <c r="J48" i="9"/>
  <c r="D48" i="9"/>
  <c r="J47" i="9"/>
  <c r="D47" i="9"/>
  <c r="J46" i="9"/>
  <c r="D46" i="9"/>
  <c r="J45" i="9"/>
  <c r="D45" i="9"/>
  <c r="J42" i="9"/>
  <c r="D42" i="9"/>
  <c r="J41" i="9"/>
  <c r="D41" i="9"/>
  <c r="J40" i="9"/>
  <c r="K40" i="9" s="1"/>
  <c r="D40" i="9"/>
  <c r="J39" i="9"/>
  <c r="D39" i="9"/>
  <c r="J38" i="9"/>
  <c r="D38" i="9"/>
  <c r="D35" i="9"/>
  <c r="J34" i="9"/>
  <c r="D34" i="9"/>
  <c r="J33" i="9"/>
  <c r="D33" i="9"/>
  <c r="J32" i="9"/>
  <c r="D32" i="9"/>
  <c r="J31" i="9"/>
  <c r="K31" i="9" s="1"/>
  <c r="D31" i="9"/>
  <c r="J28" i="9"/>
  <c r="D28" i="9"/>
  <c r="J27" i="9"/>
  <c r="D27" i="9"/>
  <c r="J26" i="9"/>
  <c r="D26" i="9"/>
  <c r="J25" i="9"/>
  <c r="D25" i="9"/>
  <c r="J24" i="9"/>
  <c r="D24" i="9"/>
  <c r="J21" i="9"/>
  <c r="D21" i="9"/>
  <c r="J20" i="9"/>
  <c r="D20" i="9"/>
  <c r="J19" i="9"/>
  <c r="D19" i="9"/>
  <c r="J18" i="9"/>
  <c r="D18" i="9"/>
  <c r="J17" i="9"/>
  <c r="D17" i="9"/>
  <c r="C13" i="9"/>
  <c r="E13" i="9" s="1"/>
  <c r="C12" i="9"/>
  <c r="E12" i="9" s="1"/>
  <c r="C11" i="9"/>
  <c r="E11" i="9" s="1"/>
  <c r="C10" i="9"/>
  <c r="E10" i="9" s="1"/>
  <c r="E9" i="9"/>
  <c r="E8" i="9"/>
  <c r="E7" i="9"/>
  <c r="E6" i="9"/>
  <c r="E5" i="9"/>
  <c r="E4" i="9"/>
  <c r="E3" i="9"/>
  <c r="E2" i="9"/>
  <c r="D45" i="6"/>
  <c r="D46" i="6"/>
  <c r="D47" i="6"/>
  <c r="D48" i="6"/>
  <c r="D49" i="6"/>
  <c r="C13" i="6"/>
  <c r="C12" i="6"/>
  <c r="C11" i="6"/>
  <c r="C10" i="6"/>
  <c r="E11" i="6"/>
  <c r="E12" i="6"/>
  <c r="E13" i="6"/>
  <c r="E7" i="6"/>
  <c r="E4" i="6"/>
  <c r="J18" i="6"/>
  <c r="K49" i="9" l="1"/>
  <c r="K42" i="9"/>
  <c r="K28" i="9"/>
  <c r="K21" i="9"/>
  <c r="K48" i="9"/>
  <c r="K47" i="9"/>
  <c r="K46" i="9"/>
  <c r="K45" i="9"/>
  <c r="K41" i="9"/>
  <c r="K39" i="9"/>
  <c r="K38" i="9"/>
  <c r="K34" i="9"/>
  <c r="K33" i="9"/>
  <c r="K32" i="9"/>
  <c r="K27" i="9"/>
  <c r="K26" i="9"/>
  <c r="K25" i="9"/>
  <c r="K24" i="9"/>
  <c r="K20" i="9"/>
  <c r="K19" i="9"/>
  <c r="K18" i="9"/>
  <c r="F2" i="9"/>
  <c r="G2" i="9" s="1"/>
  <c r="F10" i="9"/>
  <c r="G10" i="9" s="1"/>
  <c r="F6" i="9"/>
  <c r="G6" i="9" s="1"/>
  <c r="J49" i="6"/>
  <c r="J48" i="6"/>
  <c r="J47" i="6"/>
  <c r="J46" i="6"/>
  <c r="J45" i="6"/>
  <c r="J42" i="6"/>
  <c r="D42" i="6"/>
  <c r="J41" i="6"/>
  <c r="D41" i="6"/>
  <c r="J40" i="6"/>
  <c r="J39" i="6"/>
  <c r="D39" i="6"/>
  <c r="J38" i="6"/>
  <c r="D38" i="6"/>
  <c r="J35" i="6"/>
  <c r="D35" i="6"/>
  <c r="J34" i="6"/>
  <c r="D34" i="6"/>
  <c r="J33" i="6"/>
  <c r="D33" i="6"/>
  <c r="J32" i="6"/>
  <c r="D32" i="6"/>
  <c r="J31" i="6"/>
  <c r="D31" i="6"/>
  <c r="J28" i="6"/>
  <c r="D28" i="6"/>
  <c r="J27" i="6"/>
  <c r="D27" i="6"/>
  <c r="J26" i="6"/>
  <c r="D26" i="6"/>
  <c r="J25" i="6"/>
  <c r="D25" i="6"/>
  <c r="J24" i="6"/>
  <c r="D24" i="6"/>
  <c r="J17" i="6"/>
  <c r="J21" i="6"/>
  <c r="D21" i="6"/>
  <c r="J20" i="6"/>
  <c r="D20" i="6"/>
  <c r="J19" i="6"/>
  <c r="D19" i="6"/>
  <c r="D18" i="6"/>
  <c r="D17" i="6"/>
  <c r="E10" i="6"/>
  <c r="E9" i="6"/>
  <c r="E8" i="6"/>
  <c r="E6" i="6"/>
  <c r="E5" i="6"/>
  <c r="E3" i="6"/>
  <c r="E2" i="6"/>
  <c r="H10" i="9" l="1"/>
  <c r="L24" i="9" s="1"/>
  <c r="F2" i="6"/>
  <c r="G2" i="6" s="1"/>
  <c r="K49" i="6"/>
  <c r="K46" i="6"/>
  <c r="K18" i="6"/>
  <c r="K42" i="6"/>
  <c r="K35" i="6"/>
  <c r="K28" i="6"/>
  <c r="K48" i="6"/>
  <c r="K47" i="6"/>
  <c r="K45" i="6"/>
  <c r="K41" i="6"/>
  <c r="K40" i="6"/>
  <c r="K39" i="6"/>
  <c r="K38" i="6"/>
  <c r="K34" i="6"/>
  <c r="K33" i="6"/>
  <c r="K32" i="6"/>
  <c r="K31" i="6"/>
  <c r="K27" i="6"/>
  <c r="K26" i="6"/>
  <c r="K25" i="6"/>
  <c r="K24" i="6"/>
  <c r="K19" i="6"/>
  <c r="K21" i="6"/>
  <c r="K20" i="6"/>
  <c r="F6" i="6"/>
  <c r="G6" i="6" s="1"/>
  <c r="F10" i="6"/>
  <c r="G10" i="6" s="1"/>
  <c r="L45" i="9" l="1"/>
  <c r="L25" i="9"/>
  <c r="L48" i="9"/>
  <c r="L32" i="9"/>
  <c r="L40" i="9"/>
  <c r="L49" i="9"/>
  <c r="L33" i="9"/>
  <c r="L41" i="9"/>
  <c r="L20" i="9"/>
  <c r="L18" i="9"/>
  <c r="L17" i="9"/>
  <c r="L31" i="9"/>
  <c r="L27" i="9"/>
  <c r="L46" i="9"/>
  <c r="L21" i="9"/>
  <c r="L28" i="9"/>
  <c r="L47" i="9"/>
  <c r="L42" i="9"/>
  <c r="L34" i="9"/>
  <c r="L19" i="9"/>
  <c r="L26" i="9"/>
  <c r="L38" i="9"/>
  <c r="L39" i="9"/>
  <c r="H10" i="6"/>
  <c r="L40" i="6" s="1"/>
  <c r="L27" i="6" l="1"/>
  <c r="L20" i="6"/>
  <c r="L31" i="6"/>
  <c r="L41" i="6"/>
  <c r="L26" i="6"/>
  <c r="L42" i="6"/>
  <c r="L21" i="6"/>
  <c r="L28" i="6"/>
  <c r="L34" i="6"/>
  <c r="L47" i="6"/>
  <c r="L19" i="6"/>
  <c r="L39" i="6"/>
  <c r="L38" i="6"/>
  <c r="L45" i="6"/>
  <c r="L49" i="6"/>
  <c r="L46" i="6"/>
  <c r="L32" i="6"/>
  <c r="L24" i="6"/>
  <c r="L48" i="6"/>
  <c r="L33" i="6"/>
  <c r="L18" i="6"/>
  <c r="L25" i="6"/>
  <c r="L35" i="6"/>
</calcChain>
</file>

<file path=xl/sharedStrings.xml><?xml version="1.0" encoding="utf-8"?>
<sst xmlns="http://schemas.openxmlformats.org/spreadsheetml/2006/main" count="183" uniqueCount="46">
  <si>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</si>
  <si>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</si>
  <si>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</si>
  <si>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</si>
  <si>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</si>
  <si>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</si>
  <si>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</si>
  <si>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</si>
  <si>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</si>
  <si>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</si>
  <si>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</si>
  <si>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</si>
  <si>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</si>
  <si>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Ratio input (WT/lacZ)</t>
  </si>
  <si>
    <t>TOTAL</t>
  </si>
  <si>
    <t>dilution factor</t>
  </si>
  <si>
    <t>Mean in 10µL</t>
  </si>
  <si>
    <t>Output WT/LacZ</t>
  </si>
  <si>
    <t>Compet index</t>
  </si>
  <si>
    <t>Compet index WT/LacZ</t>
  </si>
  <si>
    <t>OD600 reached</t>
  </si>
  <si>
    <t>BL048 ANT2''∆ (MLC81) vs BL048 attB::LacZ pscJ∆ (MLC183)</t>
  </si>
  <si>
    <t>BL048 ANT2''∆ - VBMXgal80 plates (white)</t>
  </si>
  <si>
    <t>BL048 attB::LacZ pscJ∆ - VBMXgal80 plates (blue)</t>
  </si>
  <si>
    <t>BL048 ANT2''∆ vs BL048 attB::LacZ pscJ∆ mouse 1</t>
  </si>
  <si>
    <t>BL048 ANT2''∆ vs BL048 attB::LacZ pscJ∆ mouse 2</t>
  </si>
  <si>
    <t>BL048 ANT2''∆ vs BL048 attB::LacZ pscJ∆ mouse 3</t>
  </si>
  <si>
    <t>BL048 ANT2''∆ vs BL048 attB::LacZ pscJ∆ mouse 4</t>
  </si>
  <si>
    <t>BL048 ANT2''∆ vs BL048 attB::LacZ pscJ∆ mouse 5</t>
  </si>
  <si>
    <t>number of blue CFU (BL048 attB::LacZ pscJ∆)</t>
  </si>
  <si>
    <t>number of blue/gentR CFU (BL048 attB::LacZ pscJ∆)</t>
  </si>
  <si>
    <t>number of white CFU (BL048 ANT2''∆)</t>
  </si>
  <si>
    <t>BL012 vs BL048 attB::LacZ (MLC140)</t>
  </si>
  <si>
    <t>BL012  - VBMXgal80 plates (white)</t>
  </si>
  <si>
    <t>BL048 attB::LacZ VBMXgal80 plates (blue)</t>
  </si>
  <si>
    <t>BL012 vs BL048 attB::LacZ mouse 1</t>
  </si>
  <si>
    <t>BL012 vs BL048 attB::LacZ mouse 2</t>
  </si>
  <si>
    <t>BL012 vs BL048 attB::LacZ mouse 3</t>
  </si>
  <si>
    <t>BL012 vs BL048 attB::LacZ mouse 4</t>
  </si>
  <si>
    <t>BL012 vs BL048 attB::LacZ mouse 5</t>
  </si>
  <si>
    <t>number of blue/gentR CFU (BL048 attB::LacZ)</t>
  </si>
  <si>
    <t>number of white CFU (BL012)</t>
  </si>
  <si>
    <t>day 14 - dead</t>
  </si>
  <si>
    <t>Ratio LacZ/WT</t>
  </si>
  <si>
    <t>Output LacZ/WT</t>
  </si>
  <si>
    <t>Compet index LacZ/WT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</si>
</sst>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0" xfId="0" applyFill="1"/>
    <xf numFmtId="0" fontId="2" fillId="0" borderId="0" xfId="0" applyFont="1" applyAlignment="1">
      <alignment horizontal="center" vertical="center" wrapText="1"/>
    </xf>
    <xf numFmtId="0" fontId="0" fillId="0" borderId="5" xfId="0" applyBorder="1"/>
    <xf numFmtId="11" fontId="0" fillId="0" borderId="6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0" fontId="0" fillId="0" borderId="11" xfId="0" applyBorder="1"/>
    <xf numFmtId="11" fontId="0" fillId="0" borderId="12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2" xfId="0" applyBorder="1"/>
    <xf numFmtId="11" fontId="0" fillId="0" borderId="12" xfId="0" applyNumberFormat="1" applyBorder="1" applyAlignment="1">
      <alignment horizontal="center"/>
    </xf>
    <xf numFmtId="11" fontId="0" fillId="0" borderId="14" xfId="0" applyNumberFormat="1" applyBorder="1" applyAlignment="1">
      <alignment horizontal="center"/>
    </xf>
    <xf numFmtId="11" fontId="0" fillId="0" borderId="23" xfId="0" applyNumberFormat="1" applyBorder="1" applyAlignment="1">
      <alignment horizontal="center"/>
    </xf>
    <xf numFmtId="1" fontId="0" fillId="0" borderId="0" xfId="0" applyNumberFormat="1" applyAlignment="1">
      <alignment horizontal="center" vertical="center" wrapText="1"/>
    </xf>
    <xf numFmtId="164" fontId="0" fillId="0" borderId="0" xfId="0" applyNumberFormat="1"/>
    <xf numFmtId="164" fontId="0" fillId="3" borderId="0" xfId="0" applyNumberFormat="1" applyFill="1"/>
    <xf numFmtId="164" fontId="0" fillId="0" borderId="0" xfId="0" applyNumberFormat="1" applyAlignment="1">
      <alignment horizontal="center" vertical="center" wrapText="1"/>
    </xf>
    <xf numFmtId="1" fontId="0" fillId="3" borderId="0" xfId="0" applyNumberFormat="1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1" fontId="0" fillId="0" borderId="12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2" fontId="0" fillId="0" borderId="0" xfId="0" applyNumberFormat="1"/>
    <xf numFmtId="1" fontId="3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53DA-C6B3-C443-9F7F-0A32CBDCC52E}">
  <dimension ref="A1:L49"/>
  <sheetViews>
    <sheetView workbookViewId="0">
      <selection activeCell="L45" sqref="L45:L49"/>
    </sheetView>
  </sheetViews>
  <sheetFormatPr baseColWidth="10" defaultRowHeight="16" x14ac:dyDescent="0.2"/>
  <cols>
    <col min="1" max="1" width="16.33203125" customWidth="1"/>
    <col min="2" max="2" width="15" customWidth="1"/>
    <col min="12" max="12" width="10.83203125" style="20"/>
  </cols>
  <sheetData>
    <row r="1" spans="1:12" ht="43" thickBot="1" x14ac:dyDescent="0.25">
      <c r="B1" s="1"/>
      <c r="C1" s="8" t="s">
        <v>3</v>
      </c>
      <c r="D1" s="8" t="s">
        <v>4</v>
      </c>
      <c r="E1" s="8" t="s">
        <v>8</v>
      </c>
      <c r="F1" s="8" t="s">
        <v>5</v>
      </c>
      <c r="G1" s="8" t="s">
        <v>6</v>
      </c>
      <c r="H1" s="8" t="s">
        <v>13</v>
      </c>
      <c r="I1" s="8" t="s">
        <v>20</v>
      </c>
    </row>
    <row r="2" spans="1:12" x14ac:dyDescent="0.2">
      <c r="A2" s="26" t="s">
        <v>21</v>
      </c>
      <c r="B2" s="29" t="s">
        <v>22</v>
      </c>
      <c r="C2" s="9">
        <v>9</v>
      </c>
      <c r="D2" s="10">
        <v>10000</v>
      </c>
      <c r="E2" s="11">
        <f>C2*5*D2</f>
        <v>450000</v>
      </c>
      <c r="F2" s="31">
        <f>AVERAGE(E2:E5)</f>
        <v>387500</v>
      </c>
      <c r="G2" s="33">
        <f>LOG10(F2)</f>
        <v>5.5882717068423293</v>
      </c>
      <c r="I2" s="24">
        <v>0.40300000000000002</v>
      </c>
    </row>
    <row r="3" spans="1:12" x14ac:dyDescent="0.2">
      <c r="A3" s="27"/>
      <c r="B3" s="30"/>
      <c r="C3" s="12">
        <v>3</v>
      </c>
      <c r="D3" s="13">
        <v>10000</v>
      </c>
      <c r="E3" s="13">
        <f>C3*5*D3</f>
        <v>150000</v>
      </c>
      <c r="F3" s="32"/>
      <c r="G3" s="34"/>
      <c r="I3" s="24"/>
    </row>
    <row r="4" spans="1:12" x14ac:dyDescent="0.2">
      <c r="A4" s="27"/>
      <c r="B4" s="30"/>
      <c r="C4" s="12">
        <v>8</v>
      </c>
      <c r="D4" s="14">
        <v>10000</v>
      </c>
      <c r="E4" s="13">
        <f>C4*5*D4</f>
        <v>400000</v>
      </c>
      <c r="F4" s="32"/>
      <c r="G4" s="34"/>
      <c r="I4" s="24"/>
    </row>
    <row r="5" spans="1:12" x14ac:dyDescent="0.2">
      <c r="A5" s="27"/>
      <c r="B5" s="30"/>
      <c r="C5" s="12">
        <v>11</v>
      </c>
      <c r="D5" s="14">
        <v>10000</v>
      </c>
      <c r="E5" s="13">
        <f t="shared" ref="E5:E13" si="0">C5*5*D5</f>
        <v>550000</v>
      </c>
      <c r="F5" s="32"/>
      <c r="G5" s="34"/>
      <c r="I5" s="24"/>
    </row>
    <row r="6" spans="1:12" x14ac:dyDescent="0.2">
      <c r="A6" s="27"/>
      <c r="B6" s="35" t="s">
        <v>23</v>
      </c>
      <c r="C6" s="15">
        <v>4</v>
      </c>
      <c r="D6" s="13">
        <v>10000</v>
      </c>
      <c r="E6" s="13">
        <f t="shared" si="0"/>
        <v>200000</v>
      </c>
      <c r="F6" s="36">
        <f>AVERAGE(E6:E9)</f>
        <v>262500</v>
      </c>
      <c r="G6" s="37">
        <f>LOG10(F6)</f>
        <v>5.4191293077419758</v>
      </c>
      <c r="I6" s="25">
        <v>0.40100000000000002</v>
      </c>
    </row>
    <row r="7" spans="1:12" x14ac:dyDescent="0.2">
      <c r="A7" s="27"/>
      <c r="B7" s="30"/>
      <c r="C7" s="15">
        <v>5</v>
      </c>
      <c r="D7" s="13">
        <v>10000</v>
      </c>
      <c r="E7" s="13">
        <f t="shared" si="0"/>
        <v>250000</v>
      </c>
      <c r="F7" s="36"/>
      <c r="G7" s="37"/>
      <c r="I7" s="25"/>
    </row>
    <row r="8" spans="1:12" x14ac:dyDescent="0.2">
      <c r="A8" s="27"/>
      <c r="B8" s="30"/>
      <c r="C8" s="15">
        <v>5</v>
      </c>
      <c r="D8" s="13">
        <v>10000</v>
      </c>
      <c r="E8" s="13">
        <f t="shared" si="0"/>
        <v>250000</v>
      </c>
      <c r="F8" s="36"/>
      <c r="G8" s="37"/>
      <c r="I8" s="25"/>
    </row>
    <row r="9" spans="1:12" ht="17" thickBot="1" x14ac:dyDescent="0.25">
      <c r="A9" s="27"/>
      <c r="B9" s="30"/>
      <c r="C9" s="15">
        <v>7</v>
      </c>
      <c r="D9" s="13">
        <v>10000</v>
      </c>
      <c r="E9" s="13">
        <f t="shared" si="0"/>
        <v>350000</v>
      </c>
      <c r="F9" s="36"/>
      <c r="G9" s="37"/>
      <c r="I9" s="25"/>
    </row>
    <row r="10" spans="1:12" x14ac:dyDescent="0.2">
      <c r="A10" s="27"/>
      <c r="B10" s="38" t="s">
        <v>14</v>
      </c>
      <c r="C10" s="15">
        <f>C2+C6</f>
        <v>13</v>
      </c>
      <c r="D10" s="16">
        <v>10000</v>
      </c>
      <c r="E10" s="13">
        <f t="shared" si="0"/>
        <v>650000</v>
      </c>
      <c r="F10" s="41">
        <f>AVERAGE(E10:E13)</f>
        <v>650000</v>
      </c>
      <c r="G10" s="44">
        <f>LOG10(F10)</f>
        <v>5.8129133566428557</v>
      </c>
      <c r="H10" s="47">
        <f>F2/F6</f>
        <v>1.4761904761904763</v>
      </c>
    </row>
    <row r="11" spans="1:12" x14ac:dyDescent="0.2">
      <c r="A11" s="27"/>
      <c r="B11" s="39"/>
      <c r="C11" s="15">
        <f>C3+C7</f>
        <v>8</v>
      </c>
      <c r="D11" s="16">
        <v>10000</v>
      </c>
      <c r="E11" s="13">
        <f t="shared" si="0"/>
        <v>400000</v>
      </c>
      <c r="F11" s="42"/>
      <c r="G11" s="45"/>
      <c r="H11" s="48"/>
    </row>
    <row r="12" spans="1:12" x14ac:dyDescent="0.2">
      <c r="A12" s="27"/>
      <c r="B12" s="39"/>
      <c r="C12" s="15">
        <f>C4+C8</f>
        <v>13</v>
      </c>
      <c r="D12" s="17">
        <v>10000</v>
      </c>
      <c r="E12" s="13">
        <f t="shared" si="0"/>
        <v>650000</v>
      </c>
      <c r="F12" s="42"/>
      <c r="G12" s="45"/>
      <c r="H12" s="48"/>
    </row>
    <row r="13" spans="1:12" ht="17" thickBot="1" x14ac:dyDescent="0.25">
      <c r="A13" s="28"/>
      <c r="B13" s="40"/>
      <c r="C13" s="15">
        <f>C5+C9</f>
        <v>18</v>
      </c>
      <c r="D13" s="18">
        <v>10000</v>
      </c>
      <c r="E13" s="13">
        <f t="shared" si="0"/>
        <v>900000</v>
      </c>
      <c r="F13" s="43"/>
      <c r="G13" s="46"/>
      <c r="H13" s="49"/>
    </row>
    <row r="15" spans="1:12" s="7" customFormat="1" x14ac:dyDescent="0.2">
      <c r="L15" s="21"/>
    </row>
    <row r="16" spans="1:12" ht="51" customHeight="1" x14ac:dyDescent="0.2">
      <c r="A16" s="2" t="s">
        <v>24</v>
      </c>
      <c r="B16" s="25" t="s">
        <v>30</v>
      </c>
      <c r="C16" s="25"/>
      <c r="D16" s="5" t="s">
        <v>0</v>
      </c>
      <c r="E16" s="5" t="s">
        <v>2</v>
      </c>
      <c r="F16" s="5" t="s">
        <v>1</v>
      </c>
      <c r="G16" s="50" t="s">
        <v>31</v>
      </c>
      <c r="H16" s="50"/>
      <c r="I16" s="19" t="s">
        <v>15</v>
      </c>
      <c r="J16" s="5" t="s">
        <v>16</v>
      </c>
      <c r="K16" s="5" t="s">
        <v>17</v>
      </c>
      <c r="L16" s="22" t="s">
        <v>19</v>
      </c>
    </row>
    <row r="17" spans="1:12" x14ac:dyDescent="0.2">
      <c r="A17" s="4" t="s">
        <v>9</v>
      </c>
      <c r="B17">
        <v>27</v>
      </c>
      <c r="C17">
        <v>17</v>
      </c>
      <c r="D17">
        <f>AVERAGE(B17:C17)</f>
        <v>22</v>
      </c>
      <c r="E17" s="4">
        <v>10000</v>
      </c>
      <c r="F17" s="4">
        <f>1841.8-1819.7</f>
        <v>22.099999999999909</v>
      </c>
      <c r="G17" s="3">
        <v>14</v>
      </c>
      <c r="H17" s="3">
        <v>12</v>
      </c>
      <c r="I17" s="3">
        <v>10000</v>
      </c>
      <c r="J17" s="3">
        <f>AVERAGE(G17:H17)</f>
        <v>13</v>
      </c>
      <c r="K17">
        <f>(I17*J17)/(D17*E17)</f>
        <v>0.59090909090909094</v>
      </c>
      <c r="L17" s="20">
        <f>K17/$H$10</f>
        <v>0.40029325513196479</v>
      </c>
    </row>
    <row r="18" spans="1:12" x14ac:dyDescent="0.2">
      <c r="A18" s="4" t="s">
        <v>10</v>
      </c>
      <c r="B18">
        <v>13</v>
      </c>
      <c r="C18">
        <v>9</v>
      </c>
      <c r="D18">
        <f t="shared" ref="D18:D21" si="1">AVERAGE(B18:C18)</f>
        <v>11</v>
      </c>
      <c r="E18" s="4">
        <v>10000</v>
      </c>
      <c r="F18" s="4">
        <f>1994.1-1959.6</f>
        <v>34.5</v>
      </c>
      <c r="G18" s="3">
        <v>6</v>
      </c>
      <c r="H18" s="3">
        <v>8</v>
      </c>
      <c r="I18" s="3">
        <v>10000</v>
      </c>
      <c r="J18" s="3">
        <f>AVERAGE(G18:H18)</f>
        <v>7</v>
      </c>
      <c r="K18">
        <f>(I18*J18)/(D18*E18)</f>
        <v>0.63636363636363635</v>
      </c>
      <c r="L18" s="20">
        <f t="shared" ref="L18:L21" si="2">K18/$H$10</f>
        <v>0.43108504398826974</v>
      </c>
    </row>
    <row r="19" spans="1:12" x14ac:dyDescent="0.2">
      <c r="A19" s="4" t="s">
        <v>7</v>
      </c>
      <c r="B19">
        <v>25</v>
      </c>
      <c r="C19">
        <v>21</v>
      </c>
      <c r="D19">
        <f t="shared" si="1"/>
        <v>23</v>
      </c>
      <c r="E19" s="4">
        <v>10000</v>
      </c>
      <c r="F19" s="4">
        <f>1780.7-1751</f>
        <v>29.700000000000045</v>
      </c>
      <c r="G19" s="3">
        <v>12</v>
      </c>
      <c r="H19" s="3">
        <v>15</v>
      </c>
      <c r="I19" s="3">
        <v>10000</v>
      </c>
      <c r="J19" s="3">
        <f t="shared" ref="J19:J21" si="3">AVERAGE(G19:H19)</f>
        <v>13.5</v>
      </c>
      <c r="K19">
        <f>(I19*J19)/(D19*E19)</f>
        <v>0.58695652173913049</v>
      </c>
      <c r="L19" s="20">
        <f t="shared" si="2"/>
        <v>0.39761570827489484</v>
      </c>
    </row>
    <row r="20" spans="1:12" x14ac:dyDescent="0.2">
      <c r="A20" s="4" t="s">
        <v>12</v>
      </c>
      <c r="B20">
        <v>46</v>
      </c>
      <c r="C20">
        <v>54</v>
      </c>
      <c r="D20">
        <f t="shared" si="1"/>
        <v>50</v>
      </c>
      <c r="E20" s="4">
        <v>100</v>
      </c>
      <c r="F20" s="4">
        <f>1895.6-1843.8</f>
        <v>51.799999999999955</v>
      </c>
      <c r="G20" s="3">
        <v>33</v>
      </c>
      <c r="H20" s="3">
        <v>20</v>
      </c>
      <c r="I20" s="3">
        <v>100</v>
      </c>
      <c r="J20" s="3">
        <f t="shared" si="3"/>
        <v>26.5</v>
      </c>
      <c r="K20">
        <f>(I20*J20)/(D20*E20)</f>
        <v>0.53</v>
      </c>
      <c r="L20" s="20">
        <f>K20/$H$10</f>
        <v>0.35903225806451611</v>
      </c>
    </row>
    <row r="21" spans="1:12" ht="17" x14ac:dyDescent="0.2">
      <c r="A21" s="5" t="s">
        <v>11</v>
      </c>
      <c r="B21" s="6">
        <v>9</v>
      </c>
      <c r="C21" s="6">
        <v>7</v>
      </c>
      <c r="D21">
        <f t="shared" si="1"/>
        <v>8</v>
      </c>
      <c r="E21" s="5">
        <v>100</v>
      </c>
      <c r="F21" s="5">
        <f>1845.7-1807.7</f>
        <v>38</v>
      </c>
      <c r="G21" s="3">
        <v>9</v>
      </c>
      <c r="H21" s="3">
        <v>12</v>
      </c>
      <c r="I21" s="3">
        <v>100</v>
      </c>
      <c r="J21" s="3">
        <f t="shared" si="3"/>
        <v>10.5</v>
      </c>
      <c r="K21">
        <f>(I21*J21)/(D21*E21)</f>
        <v>1.3125</v>
      </c>
      <c r="L21" s="20">
        <f t="shared" si="2"/>
        <v>0.88911290322580638</v>
      </c>
    </row>
    <row r="23" spans="1:12" ht="51" x14ac:dyDescent="0.2">
      <c r="A23" s="2" t="s">
        <v>25</v>
      </c>
      <c r="B23" s="25" t="s">
        <v>29</v>
      </c>
      <c r="C23" s="25"/>
      <c r="D23" s="5" t="s">
        <v>0</v>
      </c>
      <c r="E23" s="5" t="s">
        <v>2</v>
      </c>
      <c r="F23" s="5" t="s">
        <v>1</v>
      </c>
      <c r="G23" s="50" t="s">
        <v>31</v>
      </c>
      <c r="H23" s="50"/>
      <c r="I23" s="19" t="s">
        <v>15</v>
      </c>
      <c r="J23" s="5" t="s">
        <v>16</v>
      </c>
      <c r="K23" s="5" t="s">
        <v>17</v>
      </c>
      <c r="L23" s="22" t="s">
        <v>18</v>
      </c>
    </row>
    <row r="24" spans="1:12" x14ac:dyDescent="0.2">
      <c r="A24" s="4" t="s">
        <v>9</v>
      </c>
      <c r="B24">
        <v>21</v>
      </c>
      <c r="C24">
        <v>23</v>
      </c>
      <c r="D24">
        <f>AVERAGE(B24:C24)</f>
        <v>22</v>
      </c>
      <c r="E24" s="4">
        <v>1000</v>
      </c>
      <c r="F24" s="4">
        <f>1842.6-1832.8</f>
        <v>9.7999999999999545</v>
      </c>
      <c r="G24" s="3">
        <v>14</v>
      </c>
      <c r="H24" s="3">
        <v>20</v>
      </c>
      <c r="I24" s="3">
        <v>1000</v>
      </c>
      <c r="J24" s="3">
        <f>AVERAGE(G24:H24)</f>
        <v>17</v>
      </c>
      <c r="K24">
        <f>(I24*J24)/(D24*E24)</f>
        <v>0.77272727272727271</v>
      </c>
      <c r="L24" s="20">
        <f>K24/$H$10</f>
        <v>0.52346041055718473</v>
      </c>
    </row>
    <row r="25" spans="1:12" x14ac:dyDescent="0.2">
      <c r="A25" s="4" t="s">
        <v>10</v>
      </c>
      <c r="B25">
        <v>28</v>
      </c>
      <c r="C25">
        <v>24</v>
      </c>
      <c r="D25">
        <f t="shared" ref="D25:D28" si="4">AVERAGE(B25:C25)</f>
        <v>26</v>
      </c>
      <c r="E25" s="4">
        <v>10000</v>
      </c>
      <c r="F25" s="4">
        <f>1848-1818.8</f>
        <v>29.200000000000045</v>
      </c>
      <c r="G25" s="3">
        <v>20</v>
      </c>
      <c r="H25" s="3">
        <v>24</v>
      </c>
      <c r="I25" s="3">
        <v>10000</v>
      </c>
      <c r="J25" s="3">
        <f t="shared" ref="J25:J28" si="5">AVERAGE(G25:H25)</f>
        <v>22</v>
      </c>
      <c r="K25">
        <f>(I25*J25)/(D25*E25)</f>
        <v>0.84615384615384615</v>
      </c>
      <c r="L25" s="20">
        <f t="shared" ref="L25:L28" si="6">K25/$H$10</f>
        <v>0.57320099255583123</v>
      </c>
    </row>
    <row r="26" spans="1:12" x14ac:dyDescent="0.2">
      <c r="A26" s="4" t="s">
        <v>7</v>
      </c>
      <c r="B26">
        <v>13</v>
      </c>
      <c r="C26">
        <v>9</v>
      </c>
      <c r="D26">
        <f t="shared" si="4"/>
        <v>11</v>
      </c>
      <c r="E26" s="4">
        <v>1000</v>
      </c>
      <c r="F26" s="4">
        <f>1845.5-1830.8</f>
        <v>14.700000000000045</v>
      </c>
      <c r="G26" s="3">
        <v>2</v>
      </c>
      <c r="H26" s="3">
        <v>2</v>
      </c>
      <c r="I26" s="3">
        <v>1000</v>
      </c>
      <c r="J26" s="3">
        <f t="shared" si="5"/>
        <v>2</v>
      </c>
      <c r="K26">
        <f>(I26*J26)/(D26*E26)</f>
        <v>0.18181818181818182</v>
      </c>
      <c r="L26" s="20">
        <f t="shared" si="6"/>
        <v>0.12316715542521994</v>
      </c>
    </row>
    <row r="27" spans="1:12" x14ac:dyDescent="0.2">
      <c r="A27" s="4" t="s">
        <v>12</v>
      </c>
      <c r="B27">
        <v>13</v>
      </c>
      <c r="C27">
        <v>18</v>
      </c>
      <c r="D27">
        <f t="shared" si="4"/>
        <v>15.5</v>
      </c>
      <c r="E27" s="4">
        <v>100</v>
      </c>
      <c r="F27" s="4">
        <f>1864.3-1817.5</f>
        <v>46.799999999999955</v>
      </c>
      <c r="G27" s="3">
        <v>18</v>
      </c>
      <c r="H27" s="3">
        <v>15</v>
      </c>
      <c r="I27" s="3">
        <v>10</v>
      </c>
      <c r="J27" s="3">
        <f t="shared" si="5"/>
        <v>16.5</v>
      </c>
      <c r="K27">
        <f>(I27*J27)/(D27*E27)</f>
        <v>0.1064516129032258</v>
      </c>
      <c r="L27" s="20">
        <f>K27/$H$10</f>
        <v>7.2112382934443275E-2</v>
      </c>
    </row>
    <row r="28" spans="1:12" ht="17" x14ac:dyDescent="0.2">
      <c r="A28" s="5" t="s">
        <v>11</v>
      </c>
      <c r="B28" s="6">
        <v>8</v>
      </c>
      <c r="C28" s="6">
        <v>5</v>
      </c>
      <c r="D28">
        <f t="shared" si="4"/>
        <v>6.5</v>
      </c>
      <c r="E28" s="5">
        <v>100</v>
      </c>
      <c r="F28" s="5">
        <f>1843.6-1806.6</f>
        <v>37</v>
      </c>
      <c r="G28" s="3">
        <v>1</v>
      </c>
      <c r="H28" s="3">
        <v>1</v>
      </c>
      <c r="I28" s="3">
        <v>100</v>
      </c>
      <c r="J28" s="3">
        <f t="shared" si="5"/>
        <v>1</v>
      </c>
      <c r="K28">
        <f>(I28*J28)/(D28*E28)</f>
        <v>0.15384615384615385</v>
      </c>
      <c r="L28" s="20">
        <f t="shared" si="6"/>
        <v>0.10421836228287841</v>
      </c>
    </row>
    <row r="30" spans="1:12" ht="51" x14ac:dyDescent="0.2">
      <c r="A30" s="2" t="s">
        <v>26</v>
      </c>
      <c r="B30" s="25" t="s">
        <v>29</v>
      </c>
      <c r="C30" s="25"/>
      <c r="D30" s="5" t="s">
        <v>0</v>
      </c>
      <c r="E30" s="5" t="s">
        <v>2</v>
      </c>
      <c r="F30" s="5" t="s">
        <v>1</v>
      </c>
      <c r="G30" s="50" t="s">
        <v>31</v>
      </c>
      <c r="H30" s="50"/>
      <c r="I30" s="19" t="s">
        <v>15</v>
      </c>
      <c r="J30" s="5" t="s">
        <v>16</v>
      </c>
      <c r="K30" s="5" t="s">
        <v>17</v>
      </c>
      <c r="L30" s="22" t="s">
        <v>18</v>
      </c>
    </row>
    <row r="31" spans="1:12" x14ac:dyDescent="0.2">
      <c r="A31" s="4" t="s">
        <v>9</v>
      </c>
      <c r="B31">
        <v>4</v>
      </c>
      <c r="C31">
        <v>4</v>
      </c>
      <c r="D31">
        <f>AVERAGE(B31:C31)</f>
        <v>4</v>
      </c>
      <c r="E31" s="4">
        <v>10000</v>
      </c>
      <c r="F31" s="4">
        <f>1927.2-1909.4</f>
        <v>17.799999999999955</v>
      </c>
      <c r="G31" s="3">
        <v>11</v>
      </c>
      <c r="H31" s="3">
        <v>9</v>
      </c>
      <c r="I31" s="3">
        <v>10000</v>
      </c>
      <c r="J31" s="3">
        <f>AVERAGE(G31:H31)</f>
        <v>10</v>
      </c>
      <c r="K31">
        <f>(I31*J31)/(D31*E31)</f>
        <v>2.5</v>
      </c>
      <c r="L31" s="20">
        <f>K31/$H$10</f>
        <v>1.693548387096774</v>
      </c>
    </row>
    <row r="32" spans="1:12" x14ac:dyDescent="0.2">
      <c r="A32" s="4" t="s">
        <v>10</v>
      </c>
      <c r="B32">
        <v>52</v>
      </c>
      <c r="C32">
        <v>58</v>
      </c>
      <c r="D32">
        <f t="shared" ref="D32:D35" si="7">AVERAGE(B32:C32)</f>
        <v>55</v>
      </c>
      <c r="E32" s="4">
        <v>1000</v>
      </c>
      <c r="F32" s="4">
        <f>1843.1-1825.5</f>
        <v>17.599999999999909</v>
      </c>
      <c r="G32" s="3">
        <v>29</v>
      </c>
      <c r="H32" s="3">
        <v>38</v>
      </c>
      <c r="I32" s="3">
        <v>1000</v>
      </c>
      <c r="J32" s="3">
        <f t="shared" ref="J32:J35" si="8">AVERAGE(G32:H32)</f>
        <v>33.5</v>
      </c>
      <c r="K32">
        <f>(I32*J32)/(D32*E32)</f>
        <v>0.60909090909090913</v>
      </c>
      <c r="L32" s="20">
        <f t="shared" ref="L32:L35" si="9">K32/$H$10</f>
        <v>0.41260997067448679</v>
      </c>
    </row>
    <row r="33" spans="1:12" x14ac:dyDescent="0.2">
      <c r="A33" s="4" t="s">
        <v>7</v>
      </c>
      <c r="B33">
        <v>14</v>
      </c>
      <c r="C33">
        <v>19</v>
      </c>
      <c r="D33">
        <f t="shared" si="7"/>
        <v>16.5</v>
      </c>
      <c r="E33" s="4">
        <v>10000</v>
      </c>
      <c r="F33" s="4">
        <f>1862.3-1832</f>
        <v>30.299999999999955</v>
      </c>
      <c r="G33" s="3">
        <v>11</v>
      </c>
      <c r="H33" s="3">
        <v>12</v>
      </c>
      <c r="I33" s="3">
        <v>10000</v>
      </c>
      <c r="J33" s="3">
        <f t="shared" si="8"/>
        <v>11.5</v>
      </c>
      <c r="K33">
        <f>(I33*J33)/(D33*E33)</f>
        <v>0.69696969696969702</v>
      </c>
      <c r="L33" s="20">
        <f t="shared" si="9"/>
        <v>0.47214076246334313</v>
      </c>
    </row>
    <row r="34" spans="1:12" x14ac:dyDescent="0.2">
      <c r="A34" s="4" t="s">
        <v>12</v>
      </c>
      <c r="B34">
        <v>46</v>
      </c>
      <c r="C34">
        <v>52</v>
      </c>
      <c r="D34">
        <f t="shared" si="7"/>
        <v>49</v>
      </c>
      <c r="E34" s="4">
        <v>10000</v>
      </c>
      <c r="F34" s="4">
        <f>1856-1828.3</f>
        <v>27.700000000000045</v>
      </c>
      <c r="G34" s="3">
        <v>45</v>
      </c>
      <c r="H34" s="3">
        <v>39</v>
      </c>
      <c r="I34" s="3">
        <v>10000</v>
      </c>
      <c r="J34" s="3">
        <f t="shared" si="8"/>
        <v>42</v>
      </c>
      <c r="K34">
        <f>(I34*J34)/(D34*E34)</f>
        <v>0.8571428571428571</v>
      </c>
      <c r="L34" s="20">
        <f t="shared" si="9"/>
        <v>0.58064516129032251</v>
      </c>
    </row>
    <row r="35" spans="1:12" ht="17" x14ac:dyDescent="0.2">
      <c r="A35" s="5" t="s">
        <v>11</v>
      </c>
      <c r="B35" s="6">
        <v>8</v>
      </c>
      <c r="C35" s="6">
        <v>12</v>
      </c>
      <c r="D35">
        <f t="shared" si="7"/>
        <v>10</v>
      </c>
      <c r="E35" s="5">
        <v>100</v>
      </c>
      <c r="F35" s="5">
        <f>1768.4-1730.3</f>
        <v>38.100000000000136</v>
      </c>
      <c r="G35" s="3">
        <v>1</v>
      </c>
      <c r="H35" s="3">
        <v>11</v>
      </c>
      <c r="I35" s="3">
        <v>100</v>
      </c>
      <c r="J35" s="3">
        <f t="shared" si="8"/>
        <v>6</v>
      </c>
      <c r="K35">
        <f>(I35*J35)/(D35*E35)</f>
        <v>0.6</v>
      </c>
      <c r="L35" s="20">
        <f t="shared" si="9"/>
        <v>0.40645161290322579</v>
      </c>
    </row>
    <row r="37" spans="1:12" ht="51" x14ac:dyDescent="0.2">
      <c r="A37" s="2" t="s">
        <v>27</v>
      </c>
      <c r="B37" s="25" t="s">
        <v>29</v>
      </c>
      <c r="C37" s="25"/>
      <c r="D37" s="5" t="s">
        <v>0</v>
      </c>
      <c r="E37" s="5" t="s">
        <v>2</v>
      </c>
      <c r="F37" s="5" t="s">
        <v>1</v>
      </c>
      <c r="G37" s="50" t="s">
        <v>31</v>
      </c>
      <c r="H37" s="50"/>
      <c r="I37" s="19" t="s">
        <v>15</v>
      </c>
      <c r="J37" s="5" t="s">
        <v>16</v>
      </c>
      <c r="K37" s="5" t="s">
        <v>17</v>
      </c>
      <c r="L37" s="22" t="s">
        <v>18</v>
      </c>
    </row>
    <row r="38" spans="1:12" x14ac:dyDescent="0.2">
      <c r="A38" s="4" t="s">
        <v>9</v>
      </c>
      <c r="B38">
        <v>13</v>
      </c>
      <c r="C38">
        <v>14</v>
      </c>
      <c r="D38">
        <f>AVERAGE(B38:C38)</f>
        <v>13.5</v>
      </c>
      <c r="E38" s="4">
        <v>10000</v>
      </c>
      <c r="F38" s="4">
        <f>1776.8-1755.7</f>
        <v>21.099999999999909</v>
      </c>
      <c r="G38" s="3">
        <v>12</v>
      </c>
      <c r="H38" s="3">
        <v>7</v>
      </c>
      <c r="I38" s="3">
        <v>10000</v>
      </c>
      <c r="J38" s="3">
        <f>AVERAGE(G38:H38)</f>
        <v>9.5</v>
      </c>
      <c r="K38">
        <f>(I38*J38)/(D38*E38)</f>
        <v>0.70370370370370372</v>
      </c>
      <c r="L38" s="20">
        <f>K38/$H$10</f>
        <v>0.47670250896057348</v>
      </c>
    </row>
    <row r="39" spans="1:12" x14ac:dyDescent="0.2">
      <c r="A39" s="4" t="s">
        <v>10</v>
      </c>
      <c r="B39">
        <v>22</v>
      </c>
      <c r="C39">
        <v>25</v>
      </c>
      <c r="D39">
        <f t="shared" ref="D39:D42" si="10">AVERAGE(B39:C39)</f>
        <v>23.5</v>
      </c>
      <c r="E39" s="4">
        <v>10000</v>
      </c>
      <c r="F39" s="4">
        <f>1866.1-1832.7</f>
        <v>33.399999999999864</v>
      </c>
      <c r="G39" s="3">
        <v>11</v>
      </c>
      <c r="H39" s="3">
        <v>22</v>
      </c>
      <c r="I39" s="3">
        <v>10000</v>
      </c>
      <c r="J39" s="3">
        <f t="shared" ref="J39:J42" si="11">AVERAGE(G39:H39)</f>
        <v>16.5</v>
      </c>
      <c r="K39">
        <f>(I39*J39)/(D39*E39)</f>
        <v>0.7021276595744681</v>
      </c>
      <c r="L39" s="20">
        <f t="shared" ref="L39:L42" si="12">K39/$H$10</f>
        <v>0.47563486616334932</v>
      </c>
    </row>
    <row r="40" spans="1:12" x14ac:dyDescent="0.2">
      <c r="A40" s="4" t="s">
        <v>7</v>
      </c>
      <c r="B40">
        <v>33</v>
      </c>
      <c r="C40">
        <v>32</v>
      </c>
      <c r="D40">
        <f>AVERAGE(B40:C40)</f>
        <v>32.5</v>
      </c>
      <c r="E40" s="4">
        <v>10000</v>
      </c>
      <c r="F40" s="4">
        <f>1943.7-1894.3</f>
        <v>49.400000000000091</v>
      </c>
      <c r="G40" s="3">
        <v>23</v>
      </c>
      <c r="H40" s="3">
        <v>23</v>
      </c>
      <c r="I40" s="3">
        <v>10000</v>
      </c>
      <c r="J40" s="3">
        <f t="shared" si="11"/>
        <v>23</v>
      </c>
      <c r="K40">
        <f>(I40*J40)/(D40*E40)</f>
        <v>0.70769230769230773</v>
      </c>
      <c r="L40" s="20">
        <f t="shared" si="12"/>
        <v>0.47940446650124069</v>
      </c>
    </row>
    <row r="41" spans="1:12" x14ac:dyDescent="0.2">
      <c r="A41" s="4" t="s">
        <v>12</v>
      </c>
      <c r="B41">
        <v>29</v>
      </c>
      <c r="C41">
        <v>22</v>
      </c>
      <c r="D41">
        <f t="shared" si="10"/>
        <v>25.5</v>
      </c>
      <c r="E41" s="4">
        <v>1000</v>
      </c>
      <c r="F41" s="4">
        <f>1949-1908.4</f>
        <v>40.599999999999909</v>
      </c>
      <c r="G41" s="3">
        <v>15</v>
      </c>
      <c r="H41" s="3">
        <v>15</v>
      </c>
      <c r="I41" s="3">
        <v>1000</v>
      </c>
      <c r="J41" s="3">
        <f t="shared" si="11"/>
        <v>15</v>
      </c>
      <c r="K41">
        <f>(I41*J41)/(D41*E41)</f>
        <v>0.58823529411764708</v>
      </c>
      <c r="L41" s="20">
        <f t="shared" si="12"/>
        <v>0.39848197343453512</v>
      </c>
    </row>
    <row r="42" spans="1:12" ht="17" x14ac:dyDescent="0.2">
      <c r="A42" s="5" t="s">
        <v>11</v>
      </c>
      <c r="B42" s="6">
        <v>7</v>
      </c>
      <c r="C42" s="6">
        <v>6</v>
      </c>
      <c r="D42">
        <f t="shared" si="10"/>
        <v>6.5</v>
      </c>
      <c r="E42" s="5">
        <v>100</v>
      </c>
      <c r="F42" s="5">
        <f>1924.7-1882.9</f>
        <v>41.799999999999955</v>
      </c>
      <c r="G42" s="3">
        <v>10</v>
      </c>
      <c r="H42" s="3">
        <v>14</v>
      </c>
      <c r="I42" s="3">
        <v>100</v>
      </c>
      <c r="J42" s="3">
        <f t="shared" si="11"/>
        <v>12</v>
      </c>
      <c r="K42">
        <f>(I42*J42)/(D42*E42)</f>
        <v>1.8461538461538463</v>
      </c>
      <c r="L42" s="20">
        <f t="shared" si="12"/>
        <v>1.250620347394541</v>
      </c>
    </row>
    <row r="44" spans="1:12" ht="51" x14ac:dyDescent="0.2">
      <c r="A44" s="2" t="s">
        <v>28</v>
      </c>
      <c r="B44" s="25" t="s">
        <v>29</v>
      </c>
      <c r="C44" s="25"/>
      <c r="D44" s="5" t="s">
        <v>0</v>
      </c>
      <c r="E44" s="5" t="s">
        <v>2</v>
      </c>
      <c r="F44" s="5" t="s">
        <v>1</v>
      </c>
      <c r="G44" s="50" t="s">
        <v>31</v>
      </c>
      <c r="H44" s="50"/>
      <c r="I44" s="19" t="s">
        <v>15</v>
      </c>
      <c r="J44" s="5" t="s">
        <v>16</v>
      </c>
      <c r="K44" s="5" t="s">
        <v>17</v>
      </c>
      <c r="L44" s="22" t="s">
        <v>18</v>
      </c>
    </row>
    <row r="45" spans="1:12" x14ac:dyDescent="0.2">
      <c r="A45" s="4" t="s">
        <v>9</v>
      </c>
      <c r="B45">
        <v>19</v>
      </c>
      <c r="C45">
        <v>14</v>
      </c>
      <c r="D45">
        <f>AVERAGE(B45:C45)</f>
        <v>16.5</v>
      </c>
      <c r="E45" s="4">
        <v>10000</v>
      </c>
      <c r="F45" s="4">
        <f>1766.7-1724</f>
        <v>42.700000000000045</v>
      </c>
      <c r="G45" s="3">
        <v>20</v>
      </c>
      <c r="H45" s="3">
        <v>20</v>
      </c>
      <c r="I45" s="3">
        <v>10000</v>
      </c>
      <c r="J45" s="3">
        <f>AVERAGE(G45:H45)</f>
        <v>20</v>
      </c>
      <c r="K45">
        <f>(I45*J45)/(D45*E45)</f>
        <v>1.2121212121212122</v>
      </c>
      <c r="L45" s="20">
        <f>K45/$H$10</f>
        <v>0.82111436950146621</v>
      </c>
    </row>
    <row r="46" spans="1:12" x14ac:dyDescent="0.2">
      <c r="A46" s="4" t="s">
        <v>10</v>
      </c>
      <c r="B46">
        <v>8</v>
      </c>
      <c r="C46">
        <v>13</v>
      </c>
      <c r="D46">
        <f t="shared" ref="D46:D49" si="13">AVERAGE(B46:C46)</f>
        <v>10.5</v>
      </c>
      <c r="E46" s="4">
        <v>10000</v>
      </c>
      <c r="F46" s="4">
        <f>1922.8-1901.2</f>
        <v>21.599999999999909</v>
      </c>
      <c r="G46" s="3">
        <v>10</v>
      </c>
      <c r="H46" s="3">
        <v>5</v>
      </c>
      <c r="I46" s="3">
        <v>10000</v>
      </c>
      <c r="J46" s="3">
        <f t="shared" ref="J46:J49" si="14">AVERAGE(G46:H46)</f>
        <v>7.5</v>
      </c>
      <c r="K46">
        <f>(I46*J46)/(D46*E46)</f>
        <v>0.7142857142857143</v>
      </c>
      <c r="L46" s="20">
        <f t="shared" ref="L46:L49" si="15">K46/$H$10</f>
        <v>0.48387096774193544</v>
      </c>
    </row>
    <row r="47" spans="1:12" x14ac:dyDescent="0.2">
      <c r="A47" s="4" t="s">
        <v>7</v>
      </c>
      <c r="B47">
        <v>28</v>
      </c>
      <c r="C47">
        <v>34</v>
      </c>
      <c r="D47">
        <f t="shared" si="13"/>
        <v>31</v>
      </c>
      <c r="E47" s="4">
        <v>10000</v>
      </c>
      <c r="F47" s="4">
        <f>1941.9-1907.8</f>
        <v>34.100000000000136</v>
      </c>
      <c r="G47" s="3">
        <v>42</v>
      </c>
      <c r="H47" s="3">
        <v>25</v>
      </c>
      <c r="I47" s="3">
        <v>10000</v>
      </c>
      <c r="J47" s="3">
        <f t="shared" si="14"/>
        <v>33.5</v>
      </c>
      <c r="K47">
        <f>(I47*J47)/(D47*E47)</f>
        <v>1.0806451612903225</v>
      </c>
      <c r="L47" s="20">
        <f t="shared" si="15"/>
        <v>0.73204994797086365</v>
      </c>
    </row>
    <row r="48" spans="1:12" x14ac:dyDescent="0.2">
      <c r="A48" s="4" t="s">
        <v>12</v>
      </c>
      <c r="B48">
        <v>9</v>
      </c>
      <c r="C48">
        <v>12</v>
      </c>
      <c r="D48">
        <f t="shared" si="13"/>
        <v>10.5</v>
      </c>
      <c r="E48" s="4">
        <v>10000</v>
      </c>
      <c r="F48" s="4">
        <f>1944.9-1901</f>
        <v>43.900000000000091</v>
      </c>
      <c r="G48" s="3">
        <v>4</v>
      </c>
      <c r="H48" s="3">
        <v>5</v>
      </c>
      <c r="I48" s="3">
        <v>10000</v>
      </c>
      <c r="J48" s="3">
        <f t="shared" si="14"/>
        <v>4.5</v>
      </c>
      <c r="K48">
        <f>(I48*J48)/(D48*E48)</f>
        <v>0.42857142857142855</v>
      </c>
      <c r="L48" s="20">
        <f t="shared" si="15"/>
        <v>0.29032258064516125</v>
      </c>
    </row>
    <row r="49" spans="1:12" ht="17" x14ac:dyDescent="0.2">
      <c r="A49" s="5" t="s">
        <v>11</v>
      </c>
      <c r="B49" s="6">
        <v>15</v>
      </c>
      <c r="C49" s="6">
        <v>9</v>
      </c>
      <c r="D49">
        <f t="shared" si="13"/>
        <v>12</v>
      </c>
      <c r="E49" s="5">
        <v>100</v>
      </c>
      <c r="F49" s="5">
        <f>1864.1-1821.4</f>
        <v>42.699999999999818</v>
      </c>
      <c r="G49" s="3">
        <v>4</v>
      </c>
      <c r="H49" s="3">
        <v>4</v>
      </c>
      <c r="I49" s="3">
        <v>100</v>
      </c>
      <c r="J49" s="3">
        <f t="shared" si="14"/>
        <v>4</v>
      </c>
      <c r="K49">
        <f>(I49*J49)/(D49*E49)</f>
        <v>0.33333333333333331</v>
      </c>
      <c r="L49" s="20">
        <f t="shared" si="15"/>
        <v>0.22580645161290319</v>
      </c>
    </row>
  </sheetData>
  <mergeCells count="23">
    <mergeCell ref="B37:C37"/>
    <mergeCell ref="G37:H37"/>
    <mergeCell ref="B44:C44"/>
    <mergeCell ref="G44:H44"/>
    <mergeCell ref="B16:C16"/>
    <mergeCell ref="G16:H16"/>
    <mergeCell ref="B23:C23"/>
    <mergeCell ref="G23:H23"/>
    <mergeCell ref="B30:C30"/>
    <mergeCell ref="G30:H30"/>
    <mergeCell ref="I2:I5"/>
    <mergeCell ref="I6:I9"/>
    <mergeCell ref="A2:A13"/>
    <mergeCell ref="B2:B5"/>
    <mergeCell ref="F2:F5"/>
    <mergeCell ref="G2:G5"/>
    <mergeCell ref="B6:B9"/>
    <mergeCell ref="F6:F9"/>
    <mergeCell ref="G6:G9"/>
    <mergeCell ref="B10:B13"/>
    <mergeCell ref="F10:F13"/>
    <mergeCell ref="G10:G13"/>
    <mergeCell ref="H10:H13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F6B82-6B1A-B641-9DD7-72036DC12FAA}">
  <dimension ref="A1:N49"/>
  <sheetViews>
    <sheetView tabSelected="1" topLeftCell="A14" workbookViewId="0">
      <selection activeCell="N45" sqref="N45:N49"/>
    </sheetView>
  </sheetViews>
  <sheetFormatPr baseColWidth="10" defaultRowHeight="16" x14ac:dyDescent="0.2"/>
  <cols>
    <col min="1" max="1" width="18.1640625" customWidth="1"/>
    <col min="2" max="2" width="15" customWidth="1"/>
    <col min="12" max="12" width="10.83203125" style="3" customWidth="1"/>
    <col min="13" max="14" width="12.1640625" bestFit="1" customWidth="1"/>
  </cols>
  <sheetData>
    <row r="1" spans="1:14" ht="43" thickBot="1" x14ac:dyDescent="0.25">
      <c r="B1" s="1"/>
      <c r="C1" s="8" t="s">
        <v>3</v>
      </c>
      <c r="D1" s="8" t="s">
        <v>4</v>
      </c>
      <c r="E1" s="8" t="s">
        <v>8</v>
      </c>
      <c r="F1" s="8" t="s">
        <v>5</v>
      </c>
      <c r="G1" s="8" t="s">
        <v>6</v>
      </c>
      <c r="H1" s="8" t="s">
        <v>13</v>
      </c>
      <c r="I1" s="8" t="s">
        <v>20</v>
      </c>
    </row>
    <row r="2" spans="1:14" x14ac:dyDescent="0.2">
      <c r="A2" s="26" t="s">
        <v>32</v>
      </c>
      <c r="B2" s="29" t="s">
        <v>33</v>
      </c>
      <c r="C2" s="9">
        <v>13</v>
      </c>
      <c r="D2" s="10">
        <v>10000</v>
      </c>
      <c r="E2" s="11">
        <f>C2*5*D2</f>
        <v>650000</v>
      </c>
      <c r="F2" s="31">
        <f>AVERAGE(E2:E5)</f>
        <v>637500</v>
      </c>
      <c r="G2" s="33">
        <f>LOG10(F2)</f>
        <v>5.8044801891059929</v>
      </c>
      <c r="I2" s="24">
        <v>0.316</v>
      </c>
    </row>
    <row r="3" spans="1:14" x14ac:dyDescent="0.2">
      <c r="A3" s="27"/>
      <c r="B3" s="30"/>
      <c r="C3" s="12">
        <v>13</v>
      </c>
      <c r="D3" s="13">
        <v>10000</v>
      </c>
      <c r="E3" s="13">
        <f>C3*5*D3</f>
        <v>650000</v>
      </c>
      <c r="F3" s="32"/>
      <c r="G3" s="34"/>
      <c r="I3" s="24"/>
    </row>
    <row r="4" spans="1:14" x14ac:dyDescent="0.2">
      <c r="A4" s="27"/>
      <c r="B4" s="30"/>
      <c r="C4" s="12">
        <v>12</v>
      </c>
      <c r="D4" s="14">
        <v>10000</v>
      </c>
      <c r="E4" s="13">
        <f>C4*5*D4</f>
        <v>600000</v>
      </c>
      <c r="F4" s="32"/>
      <c r="G4" s="34"/>
      <c r="I4" s="24"/>
    </row>
    <row r="5" spans="1:14" x14ac:dyDescent="0.2">
      <c r="A5" s="27"/>
      <c r="B5" s="30"/>
      <c r="C5" s="12">
        <v>13</v>
      </c>
      <c r="D5" s="14">
        <v>10000</v>
      </c>
      <c r="E5" s="13">
        <f t="shared" ref="E5:E13" si="0">C5*5*D5</f>
        <v>650000</v>
      </c>
      <c r="F5" s="32"/>
      <c r="G5" s="34"/>
      <c r="I5" s="24"/>
    </row>
    <row r="6" spans="1:14" x14ac:dyDescent="0.2">
      <c r="A6" s="27"/>
      <c r="B6" s="35" t="s">
        <v>34</v>
      </c>
      <c r="C6" s="15">
        <v>2</v>
      </c>
      <c r="D6" s="13">
        <v>10000</v>
      </c>
      <c r="E6" s="13">
        <f t="shared" si="0"/>
        <v>100000</v>
      </c>
      <c r="F6" s="36">
        <f>AVERAGE(E6:E9)</f>
        <v>187500</v>
      </c>
      <c r="G6" s="37">
        <f>LOG10(F6)</f>
        <v>5.2730012720637376</v>
      </c>
      <c r="I6" s="25">
        <v>0.39700000000000002</v>
      </c>
    </row>
    <row r="7" spans="1:14" x14ac:dyDescent="0.2">
      <c r="A7" s="27"/>
      <c r="B7" s="30"/>
      <c r="C7" s="15">
        <v>4</v>
      </c>
      <c r="D7" s="13">
        <v>10000</v>
      </c>
      <c r="E7" s="13">
        <f t="shared" si="0"/>
        <v>200000</v>
      </c>
      <c r="F7" s="36"/>
      <c r="G7" s="37"/>
      <c r="I7" s="25"/>
    </row>
    <row r="8" spans="1:14" x14ac:dyDescent="0.2">
      <c r="A8" s="27"/>
      <c r="B8" s="30"/>
      <c r="C8" s="15">
        <v>1</v>
      </c>
      <c r="D8" s="13">
        <v>10000</v>
      </c>
      <c r="E8" s="13">
        <f t="shared" si="0"/>
        <v>50000</v>
      </c>
      <c r="F8" s="36"/>
      <c r="G8" s="37"/>
      <c r="I8" s="25"/>
    </row>
    <row r="9" spans="1:14" ht="17" thickBot="1" x14ac:dyDescent="0.25">
      <c r="A9" s="27"/>
      <c r="B9" s="30"/>
      <c r="C9" s="15">
        <v>8</v>
      </c>
      <c r="D9" s="13">
        <v>10000</v>
      </c>
      <c r="E9" s="13">
        <f t="shared" si="0"/>
        <v>400000</v>
      </c>
      <c r="F9" s="36"/>
      <c r="G9" s="37"/>
      <c r="I9" s="25"/>
    </row>
    <row r="10" spans="1:14" x14ac:dyDescent="0.2">
      <c r="A10" s="27"/>
      <c r="B10" s="38" t="s">
        <v>14</v>
      </c>
      <c r="C10" s="15">
        <f>C2+C6</f>
        <v>15</v>
      </c>
      <c r="D10" s="16">
        <v>10000</v>
      </c>
      <c r="E10" s="13">
        <f t="shared" si="0"/>
        <v>750000</v>
      </c>
      <c r="F10" s="41">
        <f>AVERAGE(E10:E13)</f>
        <v>825000</v>
      </c>
      <c r="G10" s="44">
        <f>LOG10(F10)</f>
        <v>5.9164539485499255</v>
      </c>
      <c r="H10" s="47">
        <f>F2/F6</f>
        <v>3.4</v>
      </c>
    </row>
    <row r="11" spans="1:14" x14ac:dyDescent="0.2">
      <c r="A11" s="27"/>
      <c r="B11" s="39"/>
      <c r="C11" s="15">
        <f>C3+C7</f>
        <v>17</v>
      </c>
      <c r="D11" s="16">
        <v>10000</v>
      </c>
      <c r="E11" s="13">
        <f t="shared" si="0"/>
        <v>850000</v>
      </c>
      <c r="F11" s="42"/>
      <c r="G11" s="45"/>
      <c r="H11" s="48"/>
      <c r="J11" t="s">
        <v>43</v>
      </c>
      <c r="K11" s="51">
        <f>F6/F2</f>
        <v>0.29411764705882354</v>
      </c>
    </row>
    <row r="12" spans="1:14" x14ac:dyDescent="0.2">
      <c r="A12" s="27"/>
      <c r="B12" s="39"/>
      <c r="C12" s="15">
        <f>C4+C8</f>
        <v>13</v>
      </c>
      <c r="D12" s="17">
        <v>10000</v>
      </c>
      <c r="E12" s="13">
        <f t="shared" si="0"/>
        <v>650000</v>
      </c>
      <c r="F12" s="42"/>
      <c r="G12" s="45"/>
      <c r="H12" s="48"/>
    </row>
    <row r="13" spans="1:14" ht="17" thickBot="1" x14ac:dyDescent="0.25">
      <c r="A13" s="28"/>
      <c r="B13" s="40"/>
      <c r="C13" s="15">
        <f>C5+C9</f>
        <v>21</v>
      </c>
      <c r="D13" s="18">
        <v>10000</v>
      </c>
      <c r="E13" s="13">
        <f t="shared" si="0"/>
        <v>1050000</v>
      </c>
      <c r="F13" s="43"/>
      <c r="G13" s="46"/>
      <c r="H13" s="49"/>
    </row>
    <row r="15" spans="1:14" s="7" customFormat="1" x14ac:dyDescent="0.2">
      <c r="L15" s="23"/>
    </row>
    <row r="16" spans="1:14" ht="51" customHeight="1" x14ac:dyDescent="0.2">
      <c r="A16" s="2" t="s">
        <v>35</v>
      </c>
      <c r="B16" s="25" t="s">
        <v>40</v>
      </c>
      <c r="C16" s="25"/>
      <c r="D16" s="5" t="s">
        <v>0</v>
      </c>
      <c r="E16" s="5" t="s">
        <v>2</v>
      </c>
      <c r="F16" s="5" t="s">
        <v>1</v>
      </c>
      <c r="G16" s="50" t="s">
        <v>41</v>
      </c>
      <c r="H16" s="50"/>
      <c r="I16" s="19" t="s">
        <v>15</v>
      </c>
      <c r="J16" s="5" t="s">
        <v>16</v>
      </c>
      <c r="K16" s="5" t="s">
        <v>17</v>
      </c>
      <c r="L16" s="19" t="s">
        <v>19</v>
      </c>
      <c r="M16" s="5" t="s">
        <v>44</v>
      </c>
      <c r="N16" s="19" t="s">
        <v>45</v>
      </c>
    </row>
    <row r="17" spans="1:14" x14ac:dyDescent="0.2">
      <c r="A17" s="4" t="s">
        <v>9</v>
      </c>
      <c r="B17">
        <v>4</v>
      </c>
      <c r="D17">
        <f>AVERAGE(B17:C17)</f>
        <v>4</v>
      </c>
      <c r="E17" s="4">
        <v>1</v>
      </c>
      <c r="F17" s="4">
        <f>1809.9-1781.1</f>
        <v>28.800000000000182</v>
      </c>
      <c r="G17" s="3">
        <v>23</v>
      </c>
      <c r="H17" s="3">
        <v>19</v>
      </c>
      <c r="I17" s="3">
        <v>10000</v>
      </c>
      <c r="J17" s="3">
        <f>AVERAGE(G17:H17)</f>
        <v>21</v>
      </c>
      <c r="K17">
        <f>(I17*J17)/(D17*E17)</f>
        <v>52500</v>
      </c>
      <c r="L17" s="3">
        <f>K17/$H$10</f>
        <v>15441.176470588236</v>
      </c>
      <c r="M17">
        <f>(D17*E17)/(I17*J17)</f>
        <v>1.9047619047619046E-5</v>
      </c>
      <c r="N17">
        <f>M17/$K$11</f>
        <v>6.4761904761904759E-5</v>
      </c>
    </row>
    <row r="18" spans="1:14" x14ac:dyDescent="0.2">
      <c r="A18" s="4" t="s">
        <v>10</v>
      </c>
      <c r="B18">
        <v>3</v>
      </c>
      <c r="D18">
        <f t="shared" ref="D18:D21" si="1">AVERAGE(B18:C18)</f>
        <v>3</v>
      </c>
      <c r="E18" s="4">
        <v>1</v>
      </c>
      <c r="F18" s="4">
        <f>1793.1-1756</f>
        <v>37.099999999999909</v>
      </c>
      <c r="G18" s="3">
        <v>19</v>
      </c>
      <c r="H18" s="3">
        <v>19</v>
      </c>
      <c r="I18" s="3">
        <v>10000</v>
      </c>
      <c r="J18" s="3">
        <f>AVERAGE(G18:H18)</f>
        <v>19</v>
      </c>
      <c r="K18">
        <f>(I18*J18)/(D18*E18)</f>
        <v>63333.333333333336</v>
      </c>
      <c r="L18" s="3">
        <f t="shared" ref="L18:L21" si="2">K18/$H$10</f>
        <v>18627.450980392157</v>
      </c>
      <c r="M18">
        <f t="shared" ref="M18:M49" si="3">(D18*E18)/(I18*J18)</f>
        <v>1.5789473684210526E-5</v>
      </c>
      <c r="N18">
        <f t="shared" ref="N18:N49" si="4">M18/$K$11</f>
        <v>5.3684210526315784E-5</v>
      </c>
    </row>
    <row r="19" spans="1:14" x14ac:dyDescent="0.2">
      <c r="A19" s="4" t="s">
        <v>7</v>
      </c>
      <c r="B19">
        <v>1</v>
      </c>
      <c r="D19">
        <f t="shared" si="1"/>
        <v>1</v>
      </c>
      <c r="E19" s="4">
        <v>1</v>
      </c>
      <c r="F19" s="4">
        <f>1957.6-1910.5</f>
        <v>47.099999999999909</v>
      </c>
      <c r="G19" s="3">
        <v>23</v>
      </c>
      <c r="H19" s="3"/>
      <c r="I19" s="3">
        <v>10000</v>
      </c>
      <c r="J19" s="3">
        <f t="shared" ref="J19:J21" si="5">AVERAGE(G19:H19)</f>
        <v>23</v>
      </c>
      <c r="K19">
        <f>(I19*J19)/(D19*E19)</f>
        <v>230000</v>
      </c>
      <c r="L19" s="3">
        <f t="shared" si="2"/>
        <v>67647.058823529413</v>
      </c>
      <c r="M19">
        <f t="shared" si="3"/>
        <v>4.3478260869565214E-6</v>
      </c>
      <c r="N19">
        <f t="shared" si="4"/>
        <v>1.4782608695652173E-5</v>
      </c>
    </row>
    <row r="20" spans="1:14" x14ac:dyDescent="0.2">
      <c r="A20" s="4" t="s">
        <v>12</v>
      </c>
      <c r="B20">
        <v>0</v>
      </c>
      <c r="D20">
        <f t="shared" si="1"/>
        <v>0</v>
      </c>
      <c r="E20" s="4">
        <v>1</v>
      </c>
      <c r="F20" s="4">
        <f>1853.2-1808.6</f>
        <v>44.600000000000136</v>
      </c>
      <c r="G20" s="3">
        <v>35</v>
      </c>
      <c r="H20" s="3"/>
      <c r="I20" s="3">
        <v>100</v>
      </c>
      <c r="J20" s="3">
        <f t="shared" si="5"/>
        <v>35</v>
      </c>
      <c r="K20" t="e">
        <f>(I20*J20)/(D20*E20)</f>
        <v>#DIV/0!</v>
      </c>
      <c r="L20" s="3" t="e">
        <f>K20/$H$10</f>
        <v>#DIV/0!</v>
      </c>
      <c r="M20">
        <f t="shared" si="3"/>
        <v>0</v>
      </c>
      <c r="N20">
        <f t="shared" si="4"/>
        <v>0</v>
      </c>
    </row>
    <row r="21" spans="1:14" ht="17" x14ac:dyDescent="0.2">
      <c r="A21" s="5" t="s">
        <v>11</v>
      </c>
      <c r="B21" s="6">
        <v>0</v>
      </c>
      <c r="C21" s="6"/>
      <c r="D21">
        <f t="shared" si="1"/>
        <v>0</v>
      </c>
      <c r="E21" s="5">
        <v>1</v>
      </c>
      <c r="F21" s="5">
        <f>1843.5-1819.3</f>
        <v>24.200000000000045</v>
      </c>
      <c r="G21" s="3">
        <v>8</v>
      </c>
      <c r="H21" s="3"/>
      <c r="I21" s="3">
        <v>100</v>
      </c>
      <c r="J21" s="3">
        <f t="shared" si="5"/>
        <v>8</v>
      </c>
      <c r="K21" t="e">
        <f>(I21*J21)/(D21*E21)</f>
        <v>#DIV/0!</v>
      </c>
      <c r="L21" s="3" t="e">
        <f t="shared" si="2"/>
        <v>#DIV/0!</v>
      </c>
      <c r="M21">
        <f t="shared" si="3"/>
        <v>0</v>
      </c>
      <c r="N21">
        <f t="shared" si="4"/>
        <v>0</v>
      </c>
    </row>
    <row r="23" spans="1:14" ht="51" customHeight="1" x14ac:dyDescent="0.2">
      <c r="A23" s="2" t="s">
        <v>36</v>
      </c>
      <c r="B23" s="25" t="s">
        <v>40</v>
      </c>
      <c r="C23" s="25"/>
      <c r="D23" s="5" t="s">
        <v>0</v>
      </c>
      <c r="E23" s="5" t="s">
        <v>2</v>
      </c>
      <c r="F23" s="5" t="s">
        <v>1</v>
      </c>
      <c r="G23" s="50" t="s">
        <v>41</v>
      </c>
      <c r="H23" s="50"/>
      <c r="I23" s="19" t="s">
        <v>15</v>
      </c>
      <c r="J23" s="5" t="s">
        <v>16</v>
      </c>
      <c r="K23" s="5" t="s">
        <v>17</v>
      </c>
      <c r="L23" s="19" t="s">
        <v>19</v>
      </c>
      <c r="M23" s="5" t="s">
        <v>44</v>
      </c>
      <c r="N23" s="19" t="s">
        <v>45</v>
      </c>
    </row>
    <row r="24" spans="1:14" x14ac:dyDescent="0.2">
      <c r="A24" s="4" t="s">
        <v>9</v>
      </c>
      <c r="B24">
        <v>14</v>
      </c>
      <c r="D24">
        <f>AVERAGE(B24:C24)</f>
        <v>14</v>
      </c>
      <c r="E24" s="4">
        <v>10</v>
      </c>
      <c r="F24" s="4">
        <f>1766.7-1748.2</f>
        <v>18.5</v>
      </c>
      <c r="G24" s="3">
        <v>49</v>
      </c>
      <c r="H24" s="3">
        <v>46</v>
      </c>
      <c r="I24" s="3">
        <v>1000</v>
      </c>
      <c r="J24" s="3">
        <f>AVERAGE(G24:H24)</f>
        <v>47.5</v>
      </c>
      <c r="K24">
        <f>(I24*J24)/(D24*E24)</f>
        <v>339.28571428571428</v>
      </c>
      <c r="L24" s="3">
        <f>K24/$H$10</f>
        <v>99.789915966386559</v>
      </c>
      <c r="M24">
        <f t="shared" si="3"/>
        <v>2.9473684210526317E-3</v>
      </c>
      <c r="N24">
        <f t="shared" si="4"/>
        <v>1.0021052631578948E-2</v>
      </c>
    </row>
    <row r="25" spans="1:14" x14ac:dyDescent="0.2">
      <c r="A25" s="4" t="s">
        <v>10</v>
      </c>
      <c r="B25">
        <v>10</v>
      </c>
      <c r="D25">
        <f t="shared" ref="D25:D28" si="6">AVERAGE(B25:C25)</f>
        <v>10</v>
      </c>
      <c r="E25" s="4">
        <v>1</v>
      </c>
      <c r="F25" s="4">
        <f>2000.5-1981.8</f>
        <v>18.700000000000045</v>
      </c>
      <c r="G25" s="3">
        <v>12</v>
      </c>
      <c r="H25" s="3">
        <v>12</v>
      </c>
      <c r="I25" s="3">
        <v>10000</v>
      </c>
      <c r="J25" s="3">
        <f t="shared" ref="J25:J28" si="7">AVERAGE(G25:H25)</f>
        <v>12</v>
      </c>
      <c r="K25">
        <f>(I25*J25)/(D25*E25)</f>
        <v>12000</v>
      </c>
      <c r="L25" s="3">
        <f t="shared" ref="L25:L28" si="8">K25/$H$10</f>
        <v>3529.4117647058824</v>
      </c>
      <c r="M25">
        <f t="shared" si="3"/>
        <v>8.3333333333333331E-5</v>
      </c>
      <c r="N25">
        <f t="shared" si="4"/>
        <v>2.833333333333333E-4</v>
      </c>
    </row>
    <row r="26" spans="1:14" x14ac:dyDescent="0.2">
      <c r="A26" s="4" t="s">
        <v>7</v>
      </c>
      <c r="B26">
        <v>3</v>
      </c>
      <c r="D26">
        <f t="shared" si="6"/>
        <v>3</v>
      </c>
      <c r="E26" s="4">
        <v>1</v>
      </c>
      <c r="F26" s="4">
        <f>1866.8-1830.9</f>
        <v>35.899999999999864</v>
      </c>
      <c r="G26" s="3">
        <v>19</v>
      </c>
      <c r="H26" s="3"/>
      <c r="I26" s="3">
        <v>10000</v>
      </c>
      <c r="J26" s="3">
        <f t="shared" si="7"/>
        <v>19</v>
      </c>
      <c r="K26">
        <f>(I26*J26)/(D26*E26)</f>
        <v>63333.333333333336</v>
      </c>
      <c r="L26" s="3">
        <f t="shared" si="8"/>
        <v>18627.450980392157</v>
      </c>
      <c r="M26">
        <f t="shared" si="3"/>
        <v>1.5789473684210526E-5</v>
      </c>
      <c r="N26">
        <f t="shared" si="4"/>
        <v>5.3684210526315784E-5</v>
      </c>
    </row>
    <row r="27" spans="1:14" x14ac:dyDescent="0.2">
      <c r="A27" s="4" t="s">
        <v>12</v>
      </c>
      <c r="B27">
        <v>0</v>
      </c>
      <c r="D27">
        <f t="shared" si="6"/>
        <v>0</v>
      </c>
      <c r="E27" s="4">
        <v>1</v>
      </c>
      <c r="F27" s="4">
        <f>1952.6-1832.5</f>
        <v>120.09999999999991</v>
      </c>
      <c r="G27" s="3">
        <v>28</v>
      </c>
      <c r="H27" s="3"/>
      <c r="I27" s="3">
        <v>100</v>
      </c>
      <c r="J27" s="3">
        <f t="shared" si="7"/>
        <v>28</v>
      </c>
      <c r="K27" t="e">
        <f>(I27*J27)/(D27*E27)</f>
        <v>#DIV/0!</v>
      </c>
      <c r="L27" s="3" t="e">
        <f>K27/$H$10</f>
        <v>#DIV/0!</v>
      </c>
      <c r="M27">
        <f t="shared" si="3"/>
        <v>0</v>
      </c>
      <c r="N27">
        <f t="shared" si="4"/>
        <v>0</v>
      </c>
    </row>
    <row r="28" spans="1:14" ht="17" x14ac:dyDescent="0.2">
      <c r="A28" s="5" t="s">
        <v>11</v>
      </c>
      <c r="B28" s="6">
        <v>0</v>
      </c>
      <c r="C28" s="6"/>
      <c r="D28">
        <f t="shared" si="6"/>
        <v>0</v>
      </c>
      <c r="E28" s="5">
        <v>1</v>
      </c>
      <c r="F28" s="5">
        <f>1928-1891</f>
        <v>37</v>
      </c>
      <c r="G28" s="3">
        <v>11</v>
      </c>
      <c r="H28" s="3"/>
      <c r="I28" s="3">
        <v>100</v>
      </c>
      <c r="J28" s="3">
        <f t="shared" si="7"/>
        <v>11</v>
      </c>
      <c r="K28" t="e">
        <f>(I28*J28)/(D28*E28)</f>
        <v>#DIV/0!</v>
      </c>
      <c r="L28" s="3" t="e">
        <f t="shared" si="8"/>
        <v>#DIV/0!</v>
      </c>
      <c r="M28">
        <f t="shared" si="3"/>
        <v>0</v>
      </c>
      <c r="N28">
        <f t="shared" si="4"/>
        <v>0</v>
      </c>
    </row>
    <row r="30" spans="1:14" ht="51" customHeight="1" x14ac:dyDescent="0.2">
      <c r="A30" s="2" t="s">
        <v>37</v>
      </c>
      <c r="B30" s="25" t="s">
        <v>40</v>
      </c>
      <c r="C30" s="25"/>
      <c r="D30" s="5" t="s">
        <v>0</v>
      </c>
      <c r="E30" s="5" t="s">
        <v>2</v>
      </c>
      <c r="F30" s="5" t="s">
        <v>1</v>
      </c>
      <c r="G30" s="50" t="s">
        <v>41</v>
      </c>
      <c r="H30" s="50"/>
      <c r="I30" s="19" t="s">
        <v>15</v>
      </c>
      <c r="J30" s="5" t="s">
        <v>16</v>
      </c>
      <c r="K30" s="5" t="s">
        <v>17</v>
      </c>
      <c r="L30" s="19" t="s">
        <v>19</v>
      </c>
      <c r="M30" s="5" t="s">
        <v>44</v>
      </c>
      <c r="N30" s="19" t="s">
        <v>45</v>
      </c>
    </row>
    <row r="31" spans="1:14" x14ac:dyDescent="0.2">
      <c r="A31" s="4" t="s">
        <v>9</v>
      </c>
      <c r="B31">
        <v>3</v>
      </c>
      <c r="D31">
        <f>AVERAGE(B31:C31)</f>
        <v>3</v>
      </c>
      <c r="E31" s="4">
        <v>1</v>
      </c>
      <c r="F31" s="4">
        <f>1757-1732.6</f>
        <v>24.400000000000091</v>
      </c>
      <c r="G31" s="3">
        <v>41</v>
      </c>
      <c r="H31" s="3">
        <v>40</v>
      </c>
      <c r="I31" s="3">
        <v>10000</v>
      </c>
      <c r="J31" s="3">
        <f>AVERAGE(G31:H31)</f>
        <v>40.5</v>
      </c>
      <c r="K31">
        <f>(I31*J31)/(D31*E31)</f>
        <v>135000</v>
      </c>
      <c r="L31" s="3">
        <f>K31/$H$10</f>
        <v>39705.882352941175</v>
      </c>
      <c r="M31">
        <f t="shared" si="3"/>
        <v>7.4074074074074075E-6</v>
      </c>
      <c r="N31">
        <f t="shared" si="4"/>
        <v>2.5185185185185183E-5</v>
      </c>
    </row>
    <row r="32" spans="1:14" x14ac:dyDescent="0.2">
      <c r="A32" s="4" t="s">
        <v>10</v>
      </c>
      <c r="B32">
        <v>0</v>
      </c>
      <c r="D32">
        <f t="shared" ref="D32:D35" si="9">AVERAGE(B32:C32)</f>
        <v>0</v>
      </c>
      <c r="E32" s="4">
        <v>1</v>
      </c>
      <c r="F32" s="4">
        <f>1863.1-1827.5</f>
        <v>35.599999999999909</v>
      </c>
      <c r="G32" s="3">
        <v>32</v>
      </c>
      <c r="H32" s="3">
        <v>35</v>
      </c>
      <c r="I32" s="3">
        <v>10000</v>
      </c>
      <c r="J32" s="3">
        <f t="shared" ref="J32:J35" si="10">AVERAGE(G32:H32)</f>
        <v>33.5</v>
      </c>
      <c r="K32" t="e">
        <f>(I32*J32)/(D32*E32)</f>
        <v>#DIV/0!</v>
      </c>
      <c r="L32" s="3" t="e">
        <f t="shared" ref="L32:L35" si="11">K32/$H$10</f>
        <v>#DIV/0!</v>
      </c>
      <c r="M32">
        <f t="shared" si="3"/>
        <v>0</v>
      </c>
      <c r="N32">
        <f t="shared" si="4"/>
        <v>0</v>
      </c>
    </row>
    <row r="33" spans="1:14" x14ac:dyDescent="0.2">
      <c r="A33" s="4" t="s">
        <v>7</v>
      </c>
      <c r="B33">
        <v>0</v>
      </c>
      <c r="D33">
        <f t="shared" si="9"/>
        <v>0</v>
      </c>
      <c r="E33" s="4">
        <v>1</v>
      </c>
      <c r="F33" s="4">
        <f>1822.1-1806.4</f>
        <v>15.699999999999818</v>
      </c>
      <c r="G33" s="3">
        <v>63</v>
      </c>
      <c r="H33" s="3"/>
      <c r="I33" s="3">
        <v>10000</v>
      </c>
      <c r="J33" s="3">
        <f t="shared" si="10"/>
        <v>63</v>
      </c>
      <c r="K33" t="e">
        <f>(I33*J33)/(D33*E33)</f>
        <v>#DIV/0!</v>
      </c>
      <c r="L33" s="3" t="e">
        <f t="shared" si="11"/>
        <v>#DIV/0!</v>
      </c>
      <c r="M33">
        <f t="shared" si="3"/>
        <v>0</v>
      </c>
      <c r="N33">
        <f t="shared" si="4"/>
        <v>0</v>
      </c>
    </row>
    <row r="34" spans="1:14" x14ac:dyDescent="0.2">
      <c r="A34" s="4" t="s">
        <v>12</v>
      </c>
      <c r="B34">
        <v>0</v>
      </c>
      <c r="D34">
        <f t="shared" si="9"/>
        <v>0</v>
      </c>
      <c r="E34" s="4">
        <v>1</v>
      </c>
      <c r="F34" s="4">
        <f>1988.9-1911.5</f>
        <v>77.400000000000091</v>
      </c>
      <c r="G34" s="3">
        <v>17</v>
      </c>
      <c r="H34" s="3"/>
      <c r="I34" s="3">
        <v>100000</v>
      </c>
      <c r="J34" s="3">
        <f t="shared" si="10"/>
        <v>17</v>
      </c>
      <c r="K34" t="e">
        <f>(I34*J34)/(D34*E34)</f>
        <v>#DIV/0!</v>
      </c>
      <c r="L34" s="3" t="e">
        <f t="shared" si="11"/>
        <v>#DIV/0!</v>
      </c>
      <c r="M34">
        <f t="shared" si="3"/>
        <v>0</v>
      </c>
      <c r="N34">
        <f t="shared" si="4"/>
        <v>0</v>
      </c>
    </row>
    <row r="35" spans="1:14" ht="17" x14ac:dyDescent="0.2">
      <c r="A35" s="5" t="s">
        <v>42</v>
      </c>
      <c r="B35" s="6"/>
      <c r="C35" s="6"/>
      <c r="D35" t="e">
        <f t="shared" si="9"/>
        <v>#DIV/0!</v>
      </c>
      <c r="E35" s="5"/>
      <c r="F35" s="5"/>
      <c r="G35" s="3"/>
      <c r="H35" s="3"/>
      <c r="I35" s="3"/>
      <c r="J35" s="3"/>
    </row>
    <row r="37" spans="1:14" ht="51" customHeight="1" x14ac:dyDescent="0.2">
      <c r="A37" s="2" t="s">
        <v>38</v>
      </c>
      <c r="B37" s="25" t="s">
        <v>40</v>
      </c>
      <c r="C37" s="25"/>
      <c r="D37" s="5" t="s">
        <v>0</v>
      </c>
      <c r="E37" s="5" t="s">
        <v>2</v>
      </c>
      <c r="F37" s="5" t="s">
        <v>1</v>
      </c>
      <c r="G37" s="50" t="s">
        <v>41</v>
      </c>
      <c r="H37" s="50"/>
      <c r="I37" s="19" t="s">
        <v>15</v>
      </c>
      <c r="J37" s="5" t="s">
        <v>16</v>
      </c>
      <c r="K37" s="5" t="s">
        <v>17</v>
      </c>
      <c r="L37" s="19" t="s">
        <v>19</v>
      </c>
      <c r="M37" s="5" t="s">
        <v>44</v>
      </c>
      <c r="N37" s="19" t="s">
        <v>45</v>
      </c>
    </row>
    <row r="38" spans="1:14" x14ac:dyDescent="0.2">
      <c r="A38" s="4" t="s">
        <v>9</v>
      </c>
      <c r="B38">
        <v>24</v>
      </c>
      <c r="D38">
        <f>AVERAGE(B38:C38)</f>
        <v>24</v>
      </c>
      <c r="E38" s="4">
        <v>10</v>
      </c>
      <c r="F38" s="4">
        <f>1844.4-1827.3</f>
        <v>17.100000000000136</v>
      </c>
      <c r="G38" s="3">
        <v>17</v>
      </c>
      <c r="H38" s="3">
        <v>18</v>
      </c>
      <c r="I38" s="3">
        <v>10000</v>
      </c>
      <c r="J38" s="3">
        <f>AVERAGE(G38:H38)</f>
        <v>17.5</v>
      </c>
      <c r="K38">
        <f>(I38*J38)/(D38*E38)</f>
        <v>729.16666666666663</v>
      </c>
      <c r="L38" s="3">
        <f>K38/$H$10</f>
        <v>214.4607843137255</v>
      </c>
      <c r="M38">
        <f t="shared" si="3"/>
        <v>1.3714285714285714E-3</v>
      </c>
      <c r="N38">
        <f t="shared" si="4"/>
        <v>4.6628571428571422E-3</v>
      </c>
    </row>
    <row r="39" spans="1:14" x14ac:dyDescent="0.2">
      <c r="A39" s="4" t="s">
        <v>10</v>
      </c>
      <c r="B39">
        <v>10</v>
      </c>
      <c r="D39">
        <f t="shared" ref="D39:D42" si="12">AVERAGE(B39:C39)</f>
        <v>10</v>
      </c>
      <c r="E39" s="4">
        <v>10</v>
      </c>
      <c r="F39" s="4">
        <f>1839.3-1817.7</f>
        <v>21.599999999999909</v>
      </c>
      <c r="G39" s="3">
        <v>32</v>
      </c>
      <c r="H39" s="3">
        <v>47</v>
      </c>
      <c r="I39" s="3">
        <v>10000</v>
      </c>
      <c r="J39" s="3">
        <f t="shared" ref="J39:J42" si="13">AVERAGE(G39:H39)</f>
        <v>39.5</v>
      </c>
      <c r="K39">
        <f>(I39*J39)/(D39*E39)</f>
        <v>3950</v>
      </c>
      <c r="L39" s="3">
        <f t="shared" ref="L39:L42" si="14">K39/$H$10</f>
        <v>1161.7647058823529</v>
      </c>
      <c r="M39">
        <f t="shared" si="3"/>
        <v>2.5316455696202533E-4</v>
      </c>
      <c r="N39">
        <f t="shared" si="4"/>
        <v>8.6075949367088607E-4</v>
      </c>
    </row>
    <row r="40" spans="1:14" x14ac:dyDescent="0.2">
      <c r="A40" s="4" t="s">
        <v>7</v>
      </c>
      <c r="B40">
        <v>6</v>
      </c>
      <c r="D40">
        <f t="shared" si="12"/>
        <v>6</v>
      </c>
      <c r="E40" s="4">
        <v>1</v>
      </c>
      <c r="F40" s="4">
        <f>2026.9-1985</f>
        <v>41.900000000000091</v>
      </c>
      <c r="G40" s="3">
        <v>18</v>
      </c>
      <c r="H40" s="3"/>
      <c r="I40" s="3">
        <v>10000</v>
      </c>
      <c r="J40" s="3">
        <f t="shared" si="13"/>
        <v>18</v>
      </c>
      <c r="K40">
        <f>(I40*J40)/(D40*E40)</f>
        <v>30000</v>
      </c>
      <c r="L40" s="3">
        <f t="shared" si="14"/>
        <v>8823.5294117647063</v>
      </c>
      <c r="M40">
        <f t="shared" si="3"/>
        <v>3.3333333333333335E-5</v>
      </c>
      <c r="N40">
        <f t="shared" si="4"/>
        <v>1.1333333333333334E-4</v>
      </c>
    </row>
    <row r="41" spans="1:14" x14ac:dyDescent="0.2">
      <c r="A41" s="4" t="s">
        <v>12</v>
      </c>
      <c r="B41">
        <v>1</v>
      </c>
      <c r="D41">
        <f t="shared" si="12"/>
        <v>1</v>
      </c>
      <c r="E41" s="4">
        <v>1</v>
      </c>
      <c r="F41" s="4">
        <f>1918.1-1873.3</f>
        <v>44.799999999999955</v>
      </c>
      <c r="G41" s="3">
        <v>29</v>
      </c>
      <c r="H41" s="3"/>
      <c r="I41" s="3">
        <v>10000</v>
      </c>
      <c r="J41" s="3">
        <f t="shared" si="13"/>
        <v>29</v>
      </c>
      <c r="K41">
        <f>(I41*J41)/(D41*E41)</f>
        <v>290000</v>
      </c>
      <c r="L41" s="3">
        <f t="shared" si="14"/>
        <v>85294.117647058825</v>
      </c>
      <c r="M41">
        <f t="shared" si="3"/>
        <v>3.4482758620689654E-6</v>
      </c>
      <c r="N41">
        <f t="shared" si="4"/>
        <v>1.1724137931034482E-5</v>
      </c>
    </row>
    <row r="42" spans="1:14" ht="17" x14ac:dyDescent="0.2">
      <c r="A42" s="5" t="s">
        <v>11</v>
      </c>
      <c r="B42" s="6">
        <v>0</v>
      </c>
      <c r="C42" s="6"/>
      <c r="D42">
        <f t="shared" si="12"/>
        <v>0</v>
      </c>
      <c r="E42" s="5">
        <v>1</v>
      </c>
      <c r="F42" s="5">
        <f>1857.4-1815.7</f>
        <v>41.700000000000045</v>
      </c>
      <c r="G42" s="3">
        <v>33</v>
      </c>
      <c r="H42" s="3"/>
      <c r="I42" s="3">
        <v>100</v>
      </c>
      <c r="J42" s="3">
        <f t="shared" si="13"/>
        <v>33</v>
      </c>
      <c r="K42" t="e">
        <f>(I42*J42)/(D42*E42)</f>
        <v>#DIV/0!</v>
      </c>
      <c r="L42" s="3" t="e">
        <f t="shared" si="14"/>
        <v>#DIV/0!</v>
      </c>
      <c r="M42">
        <f t="shared" si="3"/>
        <v>0</v>
      </c>
      <c r="N42">
        <f t="shared" si="4"/>
        <v>0</v>
      </c>
    </row>
    <row r="44" spans="1:14" ht="51" customHeight="1" x14ac:dyDescent="0.2">
      <c r="A44" s="2" t="s">
        <v>39</v>
      </c>
      <c r="B44" s="25" t="s">
        <v>40</v>
      </c>
      <c r="C44" s="25"/>
      <c r="D44" s="5" t="s">
        <v>0</v>
      </c>
      <c r="E44" s="5" t="s">
        <v>2</v>
      </c>
      <c r="F44" s="5" t="s">
        <v>1</v>
      </c>
      <c r="G44" s="50" t="s">
        <v>41</v>
      </c>
      <c r="H44" s="50"/>
      <c r="I44" s="19" t="s">
        <v>15</v>
      </c>
      <c r="J44" s="5" t="s">
        <v>16</v>
      </c>
      <c r="K44" s="5" t="s">
        <v>17</v>
      </c>
      <c r="L44" s="19" t="s">
        <v>19</v>
      </c>
      <c r="M44" s="5" t="s">
        <v>44</v>
      </c>
      <c r="N44" s="52" t="s">
        <v>45</v>
      </c>
    </row>
    <row r="45" spans="1:14" x14ac:dyDescent="0.2">
      <c r="A45" s="4" t="s">
        <v>9</v>
      </c>
      <c r="B45">
        <v>2</v>
      </c>
      <c r="D45">
        <f>AVERAGE(B45:C45)</f>
        <v>2</v>
      </c>
      <c r="E45" s="4">
        <v>1</v>
      </c>
      <c r="F45" s="4">
        <f>1839-1814.3</f>
        <v>24.700000000000045</v>
      </c>
      <c r="G45" s="3">
        <v>48</v>
      </c>
      <c r="H45" s="3">
        <v>46</v>
      </c>
      <c r="I45" s="3">
        <v>1000</v>
      </c>
      <c r="J45" s="3">
        <f>AVERAGE(G45:H45)</f>
        <v>47</v>
      </c>
      <c r="K45">
        <f>(I45*J45)/(D45*E45)</f>
        <v>23500</v>
      </c>
      <c r="L45" s="3">
        <f>K45/$H$10</f>
        <v>6911.7647058823532</v>
      </c>
      <c r="M45">
        <f t="shared" si="3"/>
        <v>4.2553191489361704E-5</v>
      </c>
      <c r="N45">
        <f t="shared" si="4"/>
        <v>1.4468085106382979E-4</v>
      </c>
    </row>
    <row r="46" spans="1:14" x14ac:dyDescent="0.2">
      <c r="A46" s="4" t="s">
        <v>10</v>
      </c>
      <c r="B46">
        <v>0</v>
      </c>
      <c r="D46">
        <f t="shared" ref="D46:D49" si="15">AVERAGE(B46:C46)</f>
        <v>0</v>
      </c>
      <c r="E46" s="4">
        <v>1</v>
      </c>
      <c r="F46" s="4">
        <f>1934.2-1911.4</f>
        <v>22.799999999999955</v>
      </c>
      <c r="G46" s="3">
        <v>11</v>
      </c>
      <c r="H46" s="3">
        <v>17</v>
      </c>
      <c r="I46" s="3">
        <v>10000</v>
      </c>
      <c r="J46" s="3">
        <f t="shared" ref="J46:J49" si="16">AVERAGE(G46:H46)</f>
        <v>14</v>
      </c>
      <c r="K46" t="e">
        <f>(I46*J46)/(D46*E46)</f>
        <v>#DIV/0!</v>
      </c>
      <c r="L46" s="3" t="e">
        <f t="shared" ref="L46:L49" si="17">K46/$H$10</f>
        <v>#DIV/0!</v>
      </c>
      <c r="M46">
        <f t="shared" si="3"/>
        <v>0</v>
      </c>
      <c r="N46">
        <f t="shared" si="4"/>
        <v>0</v>
      </c>
    </row>
    <row r="47" spans="1:14" x14ac:dyDescent="0.2">
      <c r="A47" s="4" t="s">
        <v>7</v>
      </c>
      <c r="B47">
        <v>0</v>
      </c>
      <c r="D47">
        <f t="shared" si="15"/>
        <v>0</v>
      </c>
      <c r="E47" s="4">
        <v>1</v>
      </c>
      <c r="F47" s="4">
        <f>1838.6-1824.8</f>
        <v>13.799999999999955</v>
      </c>
      <c r="G47" s="3">
        <v>43</v>
      </c>
      <c r="H47" s="3"/>
      <c r="I47" s="3">
        <v>1000</v>
      </c>
      <c r="J47" s="3">
        <f t="shared" si="16"/>
        <v>43</v>
      </c>
      <c r="K47" t="e">
        <f>(I47*J47)/(D47*E47)</f>
        <v>#DIV/0!</v>
      </c>
      <c r="L47" s="3" t="e">
        <f t="shared" si="17"/>
        <v>#DIV/0!</v>
      </c>
      <c r="M47">
        <f t="shared" si="3"/>
        <v>0</v>
      </c>
      <c r="N47">
        <f t="shared" si="4"/>
        <v>0</v>
      </c>
    </row>
    <row r="48" spans="1:14" x14ac:dyDescent="0.2">
      <c r="A48" s="4" t="s">
        <v>12</v>
      </c>
      <c r="B48">
        <v>0</v>
      </c>
      <c r="D48">
        <f t="shared" si="15"/>
        <v>0</v>
      </c>
      <c r="E48" s="4">
        <v>1</v>
      </c>
      <c r="F48" s="4">
        <f>1872.8-1826.7</f>
        <v>46.099999999999909</v>
      </c>
      <c r="G48" s="3">
        <v>65</v>
      </c>
      <c r="H48" s="3"/>
      <c r="I48" s="3">
        <v>1000</v>
      </c>
      <c r="J48" s="3">
        <f t="shared" si="16"/>
        <v>65</v>
      </c>
      <c r="K48" t="e">
        <f>(I48*J48)/(D48*E48)</f>
        <v>#DIV/0!</v>
      </c>
      <c r="L48" s="3" t="e">
        <f t="shared" si="17"/>
        <v>#DIV/0!</v>
      </c>
      <c r="M48">
        <f t="shared" si="3"/>
        <v>0</v>
      </c>
      <c r="N48">
        <f t="shared" si="4"/>
        <v>0</v>
      </c>
    </row>
    <row r="49" spans="1:14" ht="17" x14ac:dyDescent="0.2">
      <c r="A49" s="5" t="s">
        <v>11</v>
      </c>
      <c r="B49" s="6">
        <v>1</v>
      </c>
      <c r="C49" s="6"/>
      <c r="D49">
        <f t="shared" si="15"/>
        <v>1</v>
      </c>
      <c r="E49" s="5">
        <v>1</v>
      </c>
      <c r="F49" s="5">
        <f>1868.5-1822.1</f>
        <v>46.400000000000091</v>
      </c>
      <c r="G49" s="3">
        <v>28</v>
      </c>
      <c r="H49" s="3"/>
      <c r="I49" s="3">
        <v>100</v>
      </c>
      <c r="J49" s="3">
        <f t="shared" si="16"/>
        <v>28</v>
      </c>
      <c r="K49">
        <f>(I49*J49)/(D49*E49)</f>
        <v>2800</v>
      </c>
      <c r="L49" s="3">
        <f t="shared" si="17"/>
        <v>823.52941176470586</v>
      </c>
      <c r="M49">
        <f t="shared" si="3"/>
        <v>3.5714285714285714E-4</v>
      </c>
      <c r="N49">
        <f t="shared" si="4"/>
        <v>1.2142857142857142E-3</v>
      </c>
    </row>
  </sheetData>
  <mergeCells count="23">
    <mergeCell ref="I2:I5"/>
    <mergeCell ref="B6:B9"/>
    <mergeCell ref="F6:F9"/>
    <mergeCell ref="G6:G9"/>
    <mergeCell ref="I6:I9"/>
    <mergeCell ref="B23:C23"/>
    <mergeCell ref="G23:H23"/>
    <mergeCell ref="A2:A13"/>
    <mergeCell ref="B2:B5"/>
    <mergeCell ref="F2:F5"/>
    <mergeCell ref="G2:G5"/>
    <mergeCell ref="B10:B13"/>
    <mergeCell ref="F10:F13"/>
    <mergeCell ref="G10:G13"/>
    <mergeCell ref="H10:H13"/>
    <mergeCell ref="B16:C16"/>
    <mergeCell ref="G16:H16"/>
    <mergeCell ref="B30:C30"/>
    <mergeCell ref="G30:H30"/>
    <mergeCell ref="B37:C37"/>
    <mergeCell ref="G37:H37"/>
    <mergeCell ref="B44:C44"/>
    <mergeCell ref="G44:H44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48 48pscJdel</vt:lpstr>
      <vt:lpstr>12 48LacZ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2024-04-30T19:44:54Z</dcterms:modified>
</cp:coreProperties>
</file>