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Documents/DGP/Hauser lab/Results/2023/Mouse GI carriage/"/>
    </mc:Choice>
  </mc:AlternateContent>
  <xr:revisionPtr revIDLastSave="0" documentId="13_ncr:1_{31FC6A8C-1ABA-2044-9413-AC75589AEE76}" xr6:coauthVersionLast="47" xr6:coauthVersionMax="47" xr10:uidLastSave="{00000000-0000-0000-0000-000000000000}"/>
  <bookViews>
    <workbookView xWindow="33860" yWindow="500" windowWidth="31700" windowHeight="19740" activeTab="1" xr2:uid="{05D28018-5EC7-B748-ACA7-09DD0AD3B70C}"/>
  </bookViews>
  <sheets>
    <sheet name="dose" sheetId="6" r:id="rId1"/>
    <sheet name="feces pos ttmnt - PA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48" i="5" l="1"/>
  <c r="F47" i="5"/>
  <c r="F46" i="5"/>
  <c r="F45" i="5"/>
  <c r="F44" i="5"/>
  <c r="F41" i="5"/>
  <c r="F40" i="5"/>
  <c r="F39" i="5"/>
  <c r="F38" i="5"/>
  <c r="F37" i="5"/>
  <c r="F34" i="5"/>
  <c r="F33" i="5"/>
  <c r="F32" i="5"/>
  <c r="F31" i="5"/>
  <c r="F30" i="5"/>
  <c r="F27" i="5"/>
  <c r="F26" i="5"/>
  <c r="F25" i="5"/>
  <c r="F24" i="5"/>
  <c r="F23" i="5"/>
  <c r="F19" i="5"/>
  <c r="F18" i="5"/>
  <c r="F17" i="5"/>
  <c r="F16" i="5"/>
  <c r="F13" i="5"/>
  <c r="F12" i="5"/>
  <c r="F11" i="5"/>
  <c r="F10" i="5"/>
  <c r="F9" i="5"/>
  <c r="F6" i="5"/>
  <c r="F5" i="5"/>
  <c r="F4" i="5"/>
  <c r="F3" i="5"/>
  <c r="F2" i="5"/>
  <c r="K48" i="5"/>
  <c r="D48" i="5"/>
  <c r="G48" i="5" s="1"/>
  <c r="K47" i="5"/>
  <c r="D47" i="5"/>
  <c r="K46" i="5"/>
  <c r="D46" i="5"/>
  <c r="K45" i="5"/>
  <c r="D45" i="5"/>
  <c r="K44" i="5"/>
  <c r="D44" i="5"/>
  <c r="G44" i="5" s="1"/>
  <c r="K41" i="5"/>
  <c r="D41" i="5"/>
  <c r="K40" i="5"/>
  <c r="D40" i="5"/>
  <c r="K39" i="5"/>
  <c r="D39" i="5"/>
  <c r="G39" i="5" s="1"/>
  <c r="K38" i="5"/>
  <c r="D38" i="5"/>
  <c r="G38" i="5" s="1"/>
  <c r="K37" i="5"/>
  <c r="D37" i="5"/>
  <c r="K33" i="5"/>
  <c r="K34" i="5"/>
  <c r="K32" i="5"/>
  <c r="K31" i="5"/>
  <c r="K30" i="5"/>
  <c r="K27" i="5"/>
  <c r="K26" i="5"/>
  <c r="K25" i="5"/>
  <c r="K24" i="5"/>
  <c r="K23" i="5"/>
  <c r="K20" i="5"/>
  <c r="K19" i="5"/>
  <c r="K18" i="5"/>
  <c r="K17" i="5"/>
  <c r="K16" i="5"/>
  <c r="K13" i="5"/>
  <c r="K12" i="5"/>
  <c r="K11" i="5"/>
  <c r="K10" i="5"/>
  <c r="K9" i="5"/>
  <c r="K3" i="5"/>
  <c r="K4" i="5"/>
  <c r="K5" i="5"/>
  <c r="K6" i="5"/>
  <c r="K2" i="5"/>
  <c r="G40" i="5" l="1"/>
  <c r="G45" i="5"/>
  <c r="G46" i="5"/>
  <c r="G37" i="5"/>
  <c r="G41" i="5"/>
  <c r="G47" i="5"/>
  <c r="L48" i="5"/>
  <c r="L41" i="5"/>
  <c r="L47" i="5"/>
  <c r="L40" i="5"/>
  <c r="L46" i="5"/>
  <c r="L45" i="5"/>
  <c r="L44" i="5"/>
  <c r="L39" i="5"/>
  <c r="L38" i="5"/>
  <c r="L37" i="5"/>
  <c r="J18" i="6"/>
  <c r="L18" i="6" s="1"/>
  <c r="L15" i="6"/>
  <c r="L12" i="6"/>
  <c r="L3" i="6"/>
  <c r="L4" i="6"/>
  <c r="L5" i="6"/>
  <c r="L6" i="6"/>
  <c r="L7" i="6"/>
  <c r="J9" i="6"/>
  <c r="L9" i="6" s="1"/>
  <c r="L2" i="6"/>
  <c r="J8" i="6"/>
  <c r="L8" i="6" s="1"/>
  <c r="J10" i="6"/>
  <c r="L10" i="6" s="1"/>
  <c r="L11" i="6"/>
  <c r="L13" i="6"/>
  <c r="L14" i="6"/>
  <c r="L16" i="6"/>
  <c r="J17" i="6"/>
  <c r="L17" i="6" s="1"/>
  <c r="J19" i="6"/>
  <c r="L19" i="6" s="1"/>
  <c r="H26" i="6"/>
  <c r="I26" i="6"/>
  <c r="I27" i="6"/>
  <c r="H29" i="6"/>
  <c r="I29" i="6"/>
  <c r="I30" i="6"/>
  <c r="M8" i="6" l="1"/>
  <c r="N8" i="6" s="1"/>
  <c r="J28" i="6" s="1"/>
  <c r="M11" i="6"/>
  <c r="N11" i="6" s="1"/>
  <c r="J29" i="6" s="1"/>
  <c r="M2" i="6"/>
  <c r="N2" i="6" s="1"/>
  <c r="J26" i="6" s="1"/>
  <c r="M14" i="6"/>
  <c r="N14" i="6" s="1"/>
  <c r="J30" i="6" s="1"/>
  <c r="M5" i="6"/>
  <c r="N5" i="6" s="1"/>
  <c r="J27" i="6" s="1"/>
  <c r="M17" i="6"/>
  <c r="N17" i="6" s="1"/>
  <c r="J31" i="6" s="1"/>
  <c r="O8" i="6" l="1"/>
  <c r="O17" i="6"/>
  <c r="D34" i="5"/>
  <c r="L34" i="5" s="1"/>
  <c r="D33" i="5"/>
  <c r="L33" i="5" s="1"/>
  <c r="D32" i="5"/>
  <c r="L32" i="5" s="1"/>
  <c r="D31" i="5"/>
  <c r="L31" i="5" s="1"/>
  <c r="D30" i="5"/>
  <c r="D27" i="5"/>
  <c r="L27" i="5" s="1"/>
  <c r="D26" i="5"/>
  <c r="L26" i="5" s="1"/>
  <c r="D25" i="5"/>
  <c r="L25" i="5" s="1"/>
  <c r="D24" i="5"/>
  <c r="L24" i="5" s="1"/>
  <c r="D23" i="5"/>
  <c r="G23" i="5" s="1"/>
  <c r="D20" i="5"/>
  <c r="L20" i="5" s="1"/>
  <c r="D19" i="5"/>
  <c r="L19" i="5" s="1"/>
  <c r="D18" i="5"/>
  <c r="L18" i="5" s="1"/>
  <c r="D17" i="5"/>
  <c r="L17" i="5" s="1"/>
  <c r="D16" i="5"/>
  <c r="L16" i="5" s="1"/>
  <c r="D13" i="5"/>
  <c r="L13" i="5" s="1"/>
  <c r="D12" i="5"/>
  <c r="D11" i="5"/>
  <c r="L11" i="5" s="1"/>
  <c r="D10" i="5"/>
  <c r="L10" i="5" s="1"/>
  <c r="D9" i="5"/>
  <c r="L9" i="5" s="1"/>
  <c r="M16" i="5" l="1"/>
  <c r="M9" i="5"/>
  <c r="M32" i="5"/>
  <c r="M26" i="5"/>
  <c r="M17" i="5"/>
  <c r="M27" i="5"/>
  <c r="M18" i="5"/>
  <c r="M19" i="5"/>
  <c r="M31" i="5"/>
  <c r="M10" i="5"/>
  <c r="M20" i="5"/>
  <c r="M11" i="5"/>
  <c r="M33" i="5"/>
  <c r="M24" i="5"/>
  <c r="M25" i="5"/>
  <c r="K28" i="6"/>
  <c r="M34" i="5"/>
  <c r="M13" i="5"/>
  <c r="K31" i="6"/>
  <c r="M38" i="5"/>
  <c r="M41" i="5"/>
  <c r="M44" i="5"/>
  <c r="M45" i="5"/>
  <c r="M40" i="5"/>
  <c r="M39" i="5"/>
  <c r="M48" i="5"/>
  <c r="M37" i="5"/>
  <c r="M47" i="5"/>
  <c r="M46" i="5"/>
  <c r="G12" i="5"/>
  <c r="L12" i="5"/>
  <c r="M12" i="5" s="1"/>
  <c r="G30" i="5"/>
  <c r="L30" i="5"/>
  <c r="M30" i="5" s="1"/>
  <c r="L23" i="5"/>
  <c r="M23" i="5" s="1"/>
  <c r="G26" i="5"/>
  <c r="G11" i="5"/>
  <c r="G19" i="5"/>
  <c r="G9" i="5"/>
  <c r="G33" i="5"/>
  <c r="G18" i="5"/>
  <c r="G25" i="5"/>
  <c r="G16" i="5"/>
  <c r="G34" i="5"/>
  <c r="G32" i="5"/>
  <c r="G31" i="5"/>
  <c r="G27" i="5"/>
  <c r="G24" i="5"/>
  <c r="G20" i="5"/>
  <c r="G17" i="5"/>
  <c r="G13" i="5"/>
  <c r="G10" i="5"/>
  <c r="D6" i="5" l="1"/>
  <c r="L6" i="5" s="1"/>
  <c r="M6" i="5" s="1"/>
  <c r="D5" i="5"/>
  <c r="L5" i="5" s="1"/>
  <c r="M5" i="5" s="1"/>
  <c r="D4" i="5"/>
  <c r="L4" i="5" s="1"/>
  <c r="M4" i="5" s="1"/>
  <c r="D3" i="5"/>
  <c r="L3" i="5" s="1"/>
  <c r="M3" i="5" s="1"/>
  <c r="D2" i="5"/>
  <c r="L2" i="5" s="1"/>
  <c r="M2" i="5" s="1"/>
  <c r="G3" i="5" l="1"/>
  <c r="G4" i="5"/>
  <c r="G6" i="5"/>
  <c r="G5" i="5"/>
  <c r="G2" i="5"/>
</calcChain>
</file>

<file path=xl/sharedStrings.xml><?xml version="1.0" encoding="utf-8"?>
<sst xmlns="http://schemas.openxmlformats.org/spreadsheetml/2006/main" count="131" uniqueCount="41">
  <si>
    <t>mean in 10 µL</t>
  </si>
  <si>
    <t>feces weights (mg)</t>
  </si>
  <si>
    <t>Log10 CFU/g of feces</t>
  </si>
  <si>
    <t>Dilution factor</t>
  </si>
  <si>
    <t>Colony Count</t>
  </si>
  <si>
    <t>Dilution Factor</t>
  </si>
  <si>
    <t>Average CFUs</t>
  </si>
  <si>
    <t>Log CFUs</t>
  </si>
  <si>
    <t>day 7</t>
  </si>
  <si>
    <t>CFUs/50uL</t>
  </si>
  <si>
    <t>day 3</t>
  </si>
  <si>
    <t>day 5</t>
  </si>
  <si>
    <t>day 14</t>
  </si>
  <si>
    <t>day 10</t>
  </si>
  <si>
    <t>OD reached</t>
  </si>
  <si>
    <t>TOTAL</t>
  </si>
  <si>
    <t>Ratio input (LacZ/WT)</t>
  </si>
  <si>
    <t>Compet index</t>
  </si>
  <si>
    <t>BL048LacZ - VBMXgal80 plates (blue)</t>
  </si>
  <si>
    <t>dilution factor</t>
  </si>
  <si>
    <t>BL006 vs BL048 LacZ</t>
  </si>
  <si>
    <t>BL006 - VBMXgal80 plates (white)</t>
  </si>
  <si>
    <t>BL054LacZ - VBMXgal80 plates (blue)</t>
  </si>
  <si>
    <t>BL048delant2 - VBMXgal80 plates (white)</t>
  </si>
  <si>
    <t>BL048delant2 vs BL054 LacZ</t>
  </si>
  <si>
    <t>Ratio input (WT/lacZ)</t>
  </si>
  <si>
    <t>number of blue CFU (BL048 LacZ)</t>
  </si>
  <si>
    <t>number of white CFU (BL006)
(Xgal plates)</t>
  </si>
  <si>
    <t>number of blue CFU (BL048 LacZ)
(Xgal100 or gent10 plates)</t>
  </si>
  <si>
    <t>Mean in 10µL</t>
  </si>
  <si>
    <t>Output WT/LacZ</t>
  </si>
  <si>
    <t>number of blue CFU (BL054 LacZ)
(Xgal100 or gent10 plates)</t>
  </si>
  <si>
    <t>number of white CFU (BL048delant)
(Xgal plates)</t>
  </si>
  <si>
    <t>BL006:BL048 LacZ mouse 1 input ratio: 1.14</t>
  </si>
  <si>
    <t>BL006:BL048 LacZ mouse 2 input ratio: 1.14</t>
  </si>
  <si>
    <t>BL006:BL048 LacZ mouse 3 input ratio: 1.14</t>
  </si>
  <si>
    <t>BL006:BL048 LacZ mouse 4 input ratio: 1.14</t>
  </si>
  <si>
    <t>BL006:BL048 LacZ mouse 5 input ratio: 1.14</t>
  </si>
  <si>
    <t>BL048delant:BL054 LacZ mouse 1 input ratio: 0.46</t>
  </si>
  <si>
    <t>BL048delant:BL054 LacZ mouse 2 input ratio: 0.46</t>
  </si>
  <si>
    <t>day 14 - dead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</si>
</sst>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"/>
    <numFmt numFmtId="166" formatCode="0.00000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0"/>
      <name val="Verdana"/>
      <family val="2"/>
    </font>
    <font>
      <sz val="12"/>
      <name val="Calibri"/>
      <family val="2"/>
      <scheme val="minor"/>
    </font>
    <font>
      <b/>
      <sz val="10"/>
      <name val="Verdana"/>
      <family val="2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1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/>
    <xf numFmtId="1" fontId="0" fillId="0" borderId="0" xfId="0" applyNumberFormat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right" vertical="center" wrapText="1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top"/>
    </xf>
    <xf numFmtId="4" fontId="0" fillId="0" borderId="0" xfId="0" applyNumberFormat="1" applyAlignment="1">
      <alignment horizontal="center" vertical="center"/>
    </xf>
    <xf numFmtId="0" fontId="0" fillId="5" borderId="0" xfId="0" applyFill="1" applyAlignment="1">
      <alignment horizontal="center"/>
    </xf>
    <xf numFmtId="0" fontId="0" fillId="5" borderId="0" xfId="0" applyFill="1"/>
    <xf numFmtId="164" fontId="0" fillId="5" borderId="0" xfId="0" applyNumberFormat="1" applyFill="1"/>
    <xf numFmtId="0" fontId="0" fillId="0" borderId="3" xfId="0" applyBorder="1"/>
    <xf numFmtId="11" fontId="0" fillId="0" borderId="3" xfId="0" applyNumberFormat="1" applyBorder="1" applyAlignment="1">
      <alignment horizontal="center" vertical="center"/>
    </xf>
    <xf numFmtId="11" fontId="0" fillId="0" borderId="4" xfId="0" applyNumberFormat="1" applyBorder="1" applyAlignment="1">
      <alignment horizontal="center" vertical="center"/>
    </xf>
    <xf numFmtId="11" fontId="0" fillId="0" borderId="5" xfId="0" applyNumberFormat="1" applyBorder="1" applyAlignment="1">
      <alignment horizontal="center" vertical="center"/>
    </xf>
    <xf numFmtId="0" fontId="0" fillId="0" borderId="5" xfId="0" applyBorder="1"/>
    <xf numFmtId="0" fontId="0" fillId="0" borderId="7" xfId="0" applyBorder="1"/>
    <xf numFmtId="11" fontId="0" fillId="0" borderId="7" xfId="0" applyNumberFormat="1" applyBorder="1" applyAlignment="1">
      <alignment horizontal="center" vertical="center"/>
    </xf>
    <xf numFmtId="11" fontId="0" fillId="0" borderId="13" xfId="0" applyNumberFormat="1" applyBorder="1" applyAlignment="1">
      <alignment horizontal="center" vertical="center"/>
    </xf>
    <xf numFmtId="11" fontId="0" fillId="0" borderId="18" xfId="0" applyNumberFormat="1" applyBorder="1" applyAlignment="1">
      <alignment horizontal="center" vertical="center"/>
    </xf>
    <xf numFmtId="11" fontId="0" fillId="0" borderId="1" xfId="0" applyNumberFormat="1" applyBorder="1" applyAlignment="1">
      <alignment horizontal="center" vertical="center"/>
    </xf>
    <xf numFmtId="0" fontId="0" fillId="0" borderId="4" xfId="0" applyBorder="1"/>
    <xf numFmtId="11" fontId="0" fillId="0" borderId="3" xfId="0" applyNumberFormat="1" applyBorder="1" applyAlignment="1">
      <alignment horizontal="center"/>
    </xf>
    <xf numFmtId="11" fontId="0" fillId="0" borderId="4" xfId="0" applyNumberFormat="1" applyBorder="1" applyAlignment="1">
      <alignment horizontal="center"/>
    </xf>
    <xf numFmtId="0" fontId="4" fillId="0" borderId="0" xfId="0" applyFont="1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1" fontId="0" fillId="5" borderId="0" xfId="0" applyNumberFormat="1" applyFill="1"/>
    <xf numFmtId="0" fontId="0" fillId="0" borderId="18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0" fillId="0" borderId="26" xfId="0" applyBorder="1"/>
    <xf numFmtId="0" fontId="0" fillId="0" borderId="22" xfId="0" applyBorder="1"/>
    <xf numFmtId="0" fontId="0" fillId="0" borderId="30" xfId="0" applyBorder="1"/>
    <xf numFmtId="165" fontId="0" fillId="0" borderId="31" xfId="0" applyNumberFormat="1" applyBorder="1" applyAlignment="1">
      <alignment horizontal="center" vertical="center"/>
    </xf>
    <xf numFmtId="165" fontId="0" fillId="0" borderId="32" xfId="0" applyNumberFormat="1" applyBorder="1" applyAlignment="1">
      <alignment horizontal="center" vertical="center"/>
    </xf>
    <xf numFmtId="165" fontId="0" fillId="2" borderId="33" xfId="0" applyNumberFormat="1" applyFill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39" xfId="0" applyBorder="1"/>
    <xf numFmtId="165" fontId="0" fillId="0" borderId="41" xfId="0" applyNumberFormat="1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165" fontId="0" fillId="2" borderId="42" xfId="0" applyNumberFormat="1" applyFill="1" applyBorder="1" applyAlignment="1">
      <alignment horizontal="center" vertical="center"/>
    </xf>
    <xf numFmtId="166" fontId="0" fillId="0" borderId="0" xfId="0" applyNumberFormat="1" applyAlignment="1">
      <alignment horizontal="center" vertical="center" wrapText="1"/>
    </xf>
    <xf numFmtId="166" fontId="0" fillId="0" borderId="0" xfId="0" applyNumberFormat="1"/>
    <xf numFmtId="166" fontId="0" fillId="5" borderId="0" xfId="0" applyNumberFormat="1" applyFill="1"/>
    <xf numFmtId="2" fontId="0" fillId="2" borderId="40" xfId="0" applyNumberFormat="1" applyFill="1" applyBorder="1"/>
    <xf numFmtId="2" fontId="0" fillId="2" borderId="29" xfId="0" applyNumberFormat="1" applyFill="1" applyBorder="1" applyAlignment="1">
      <alignment horizontal="center" vertical="center"/>
    </xf>
    <xf numFmtId="0" fontId="0" fillId="0" borderId="13" xfId="0" applyBorder="1"/>
    <xf numFmtId="0" fontId="0" fillId="0" borderId="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1" fontId="0" fillId="0" borderId="4" xfId="0" applyNumberFormat="1" applyBorder="1" applyAlignment="1">
      <alignment horizontal="center" vertical="center"/>
    </xf>
    <xf numFmtId="11" fontId="0" fillId="0" borderId="21" xfId="0" applyNumberForma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65" fontId="0" fillId="0" borderId="10" xfId="0" applyNumberFormat="1" applyBorder="1" applyAlignment="1">
      <alignment horizontal="center" vertical="center"/>
    </xf>
    <xf numFmtId="11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11" fontId="0" fillId="0" borderId="19" xfId="0" applyNumberFormat="1" applyBorder="1" applyAlignment="1">
      <alignment horizontal="center" vertical="center"/>
    </xf>
    <xf numFmtId="11" fontId="0" fillId="0" borderId="2" xfId="0" applyNumberFormat="1" applyBorder="1" applyAlignment="1">
      <alignment horizontal="center" vertical="center"/>
    </xf>
    <xf numFmtId="165" fontId="0" fillId="0" borderId="8" xfId="0" applyNumberFormat="1" applyBorder="1" applyAlignment="1">
      <alignment horizontal="center" vertical="center"/>
    </xf>
    <xf numFmtId="165" fontId="0" fillId="0" borderId="16" xfId="0" applyNumberFormat="1" applyBorder="1" applyAlignment="1">
      <alignment horizontal="center" vertical="center"/>
    </xf>
    <xf numFmtId="2" fontId="0" fillId="2" borderId="23" xfId="0" applyNumberFormat="1" applyFill="1" applyBorder="1" applyAlignment="1">
      <alignment horizontal="center" vertical="center"/>
    </xf>
    <xf numFmtId="2" fontId="0" fillId="2" borderId="24" xfId="0" applyNumberFormat="1" applyFill="1" applyBorder="1" applyAlignment="1">
      <alignment horizontal="center" vertical="center"/>
    </xf>
    <xf numFmtId="2" fontId="0" fillId="2" borderId="25" xfId="0" applyNumberFormat="1" applyFill="1" applyBorder="1" applyAlignment="1">
      <alignment horizontal="center" vertical="center"/>
    </xf>
    <xf numFmtId="165" fontId="0" fillId="2" borderId="11" xfId="0" applyNumberFormat="1" applyFill="1" applyBorder="1" applyAlignment="1">
      <alignment horizontal="center" vertical="center"/>
    </xf>
    <xf numFmtId="165" fontId="0" fillId="2" borderId="22" xfId="0" applyNumberForma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165" fontId="0" fillId="2" borderId="15" xfId="0" applyNumberFormat="1" applyFill="1" applyBorder="1" applyAlignment="1">
      <alignment horizontal="center" vertical="center"/>
    </xf>
    <xf numFmtId="0" fontId="0" fillId="0" borderId="37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11" fontId="0" fillId="0" borderId="13" xfId="0" applyNumberFormat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165" fontId="0" fillId="0" borderId="19" xfId="0" applyNumberFormat="1" applyBorder="1" applyAlignment="1">
      <alignment horizontal="center" vertical="center"/>
    </xf>
    <xf numFmtId="0" fontId="0" fillId="0" borderId="43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65A74-6E46-5B48-A06B-5960E6F4185C}">
  <dimension ref="A1:Q31"/>
  <sheetViews>
    <sheetView topLeftCell="D1" zoomScale="158" workbookViewId="0">
      <selection activeCell="Q2" sqref="Q2:Q7"/>
    </sheetView>
  </sheetViews>
  <sheetFormatPr baseColWidth="10" defaultRowHeight="16" x14ac:dyDescent="0.2"/>
  <cols>
    <col min="2" max="2" width="15.6640625" customWidth="1"/>
    <col min="3" max="3" width="17.33203125" customWidth="1"/>
    <col min="9" max="9" width="18.5" customWidth="1"/>
    <col min="11" max="11" width="21" customWidth="1"/>
    <col min="12" max="12" width="11.6640625" customWidth="1"/>
    <col min="15" max="15" width="12" customWidth="1"/>
  </cols>
  <sheetData>
    <row r="1" spans="1:17" ht="33" customHeight="1" thickBot="1" x14ac:dyDescent="0.25">
      <c r="A1" s="18"/>
      <c r="B1" s="18"/>
      <c r="C1" s="18"/>
      <c r="D1" s="18"/>
      <c r="E1" s="18"/>
      <c r="I1" s="1"/>
      <c r="J1" s="37" t="s">
        <v>4</v>
      </c>
      <c r="K1" s="37" t="s">
        <v>5</v>
      </c>
      <c r="L1" s="37" t="s">
        <v>9</v>
      </c>
      <c r="M1" s="37" t="s">
        <v>6</v>
      </c>
      <c r="N1" s="37" t="s">
        <v>7</v>
      </c>
      <c r="O1" s="37" t="s">
        <v>25</v>
      </c>
      <c r="Q1" s="6" t="s">
        <v>14</v>
      </c>
    </row>
    <row r="2" spans="1:17" ht="16" customHeight="1" x14ac:dyDescent="0.2">
      <c r="A2" s="19"/>
      <c r="B2" s="20"/>
      <c r="C2" s="20"/>
      <c r="D2" s="1"/>
      <c r="E2" s="5"/>
      <c r="H2" s="60" t="s">
        <v>20</v>
      </c>
      <c r="I2" s="69" t="s">
        <v>21</v>
      </c>
      <c r="J2" s="29">
        <v>36</v>
      </c>
      <c r="K2" s="32">
        <v>1000</v>
      </c>
      <c r="L2" s="30">
        <f>J2*5*K2</f>
        <v>180000</v>
      </c>
      <c r="M2" s="76">
        <f>AVERAGE(L2:L4)</f>
        <v>198333.33333333334</v>
      </c>
      <c r="N2" s="78">
        <f>LOG10(M2)</f>
        <v>5.2973957110088872</v>
      </c>
      <c r="Q2" s="75">
        <v>0.36099999999999999</v>
      </c>
    </row>
    <row r="3" spans="1:17" ht="16" customHeight="1" x14ac:dyDescent="0.2">
      <c r="A3" s="19"/>
      <c r="B3" s="20"/>
      <c r="C3" s="20"/>
      <c r="D3" s="1"/>
      <c r="E3" s="5"/>
      <c r="H3" s="61"/>
      <c r="I3" s="70"/>
      <c r="J3" s="28">
        <v>45</v>
      </c>
      <c r="K3" s="33">
        <v>1000</v>
      </c>
      <c r="L3" s="25">
        <f t="shared" ref="L3:L9" si="0">J3*5*K3</f>
        <v>225000</v>
      </c>
      <c r="M3" s="77"/>
      <c r="N3" s="79"/>
      <c r="Q3" s="75"/>
    </row>
    <row r="4" spans="1:17" ht="16" customHeight="1" x14ac:dyDescent="0.2">
      <c r="A4" s="19"/>
      <c r="B4" s="20"/>
      <c r="C4" s="20"/>
      <c r="D4" s="1"/>
      <c r="E4" s="5"/>
      <c r="H4" s="61"/>
      <c r="I4" s="70"/>
      <c r="J4" s="28">
        <v>38</v>
      </c>
      <c r="K4" s="33">
        <v>1000</v>
      </c>
      <c r="L4" s="25">
        <f t="shared" si="0"/>
        <v>190000</v>
      </c>
      <c r="M4" s="77"/>
      <c r="N4" s="79"/>
      <c r="Q4" s="75"/>
    </row>
    <row r="5" spans="1:17" x14ac:dyDescent="0.2">
      <c r="A5" s="19"/>
      <c r="B5" s="20"/>
      <c r="C5" s="20"/>
      <c r="D5" s="1"/>
      <c r="E5" s="5"/>
      <c r="H5" s="62"/>
      <c r="I5" s="65" t="s">
        <v>18</v>
      </c>
      <c r="J5" s="24">
        <v>36</v>
      </c>
      <c r="K5" s="25">
        <v>1000</v>
      </c>
      <c r="L5" s="25">
        <f t="shared" si="0"/>
        <v>180000</v>
      </c>
      <c r="M5" s="72">
        <f>AVERAGE(L5:L7)</f>
        <v>173333.33333333334</v>
      </c>
      <c r="N5" s="71">
        <f>LOG10(M5)</f>
        <v>5.2388820889151368</v>
      </c>
      <c r="Q5" s="75">
        <v>0.36199999999999999</v>
      </c>
    </row>
    <row r="6" spans="1:17" x14ac:dyDescent="0.2">
      <c r="A6" s="19"/>
      <c r="B6" s="20"/>
      <c r="C6" s="20"/>
      <c r="D6" s="1"/>
      <c r="E6" s="5"/>
      <c r="H6" s="62"/>
      <c r="I6" s="65"/>
      <c r="J6" s="24">
        <v>34</v>
      </c>
      <c r="K6" s="25">
        <v>1000</v>
      </c>
      <c r="L6" s="25">
        <f t="shared" si="0"/>
        <v>170000</v>
      </c>
      <c r="M6" s="72"/>
      <c r="N6" s="71"/>
      <c r="Q6" s="75"/>
    </row>
    <row r="7" spans="1:17" ht="17" thickBot="1" x14ac:dyDescent="0.25">
      <c r="A7" s="19"/>
      <c r="B7" s="20"/>
      <c r="C7" s="20"/>
      <c r="D7" s="1"/>
      <c r="E7" s="5"/>
      <c r="H7" s="62"/>
      <c r="I7" s="65"/>
      <c r="J7" s="24">
        <v>34</v>
      </c>
      <c r="K7" s="25">
        <v>1000</v>
      </c>
      <c r="L7" s="25">
        <f t="shared" si="0"/>
        <v>170000</v>
      </c>
      <c r="M7" s="72"/>
      <c r="N7" s="71"/>
      <c r="Q7" s="75"/>
    </row>
    <row r="8" spans="1:17" ht="16" customHeight="1" x14ac:dyDescent="0.2">
      <c r="H8" s="62"/>
      <c r="I8" s="73" t="s">
        <v>15</v>
      </c>
      <c r="J8" s="24">
        <f>J2+J5</f>
        <v>72</v>
      </c>
      <c r="K8" s="35">
        <v>1000</v>
      </c>
      <c r="L8" s="25">
        <f t="shared" si="0"/>
        <v>360000</v>
      </c>
      <c r="M8" s="66">
        <f>AVERAGE(L8:L10)</f>
        <v>371666.66666666669</v>
      </c>
      <c r="N8" s="83">
        <f>LOG10(M8)</f>
        <v>5.5701536126645168</v>
      </c>
      <c r="O8" s="80">
        <f>M2/M5</f>
        <v>1.1442307692307692</v>
      </c>
    </row>
    <row r="9" spans="1:17" ht="16" customHeight="1" x14ac:dyDescent="0.2">
      <c r="H9" s="63"/>
      <c r="I9" s="74"/>
      <c r="J9" s="24">
        <f>J3+J6</f>
        <v>79</v>
      </c>
      <c r="K9" s="36">
        <v>1000</v>
      </c>
      <c r="L9" s="25">
        <f t="shared" si="0"/>
        <v>395000</v>
      </c>
      <c r="M9" s="67"/>
      <c r="N9" s="84"/>
      <c r="O9" s="81"/>
    </row>
    <row r="10" spans="1:17" ht="16" customHeight="1" thickBot="1" x14ac:dyDescent="0.25">
      <c r="H10" s="63"/>
      <c r="I10" s="74"/>
      <c r="J10" s="34">
        <f>J4+J7</f>
        <v>72</v>
      </c>
      <c r="K10" s="36">
        <v>1000</v>
      </c>
      <c r="L10" s="26">
        <f>J10*5*K10</f>
        <v>360000</v>
      </c>
      <c r="M10" s="68"/>
      <c r="N10" s="84"/>
      <c r="O10" s="82"/>
    </row>
    <row r="11" spans="1:17" x14ac:dyDescent="0.2">
      <c r="H11" s="60" t="s">
        <v>24</v>
      </c>
      <c r="I11" s="69" t="s">
        <v>23</v>
      </c>
      <c r="J11" s="29">
        <v>27</v>
      </c>
      <c r="K11" s="32">
        <v>1000</v>
      </c>
      <c r="L11" s="30">
        <f t="shared" ref="L11:L19" si="1">J11*5*K11</f>
        <v>135000</v>
      </c>
      <c r="M11" s="76">
        <f>AVERAGE(L11:L13)</f>
        <v>165000</v>
      </c>
      <c r="N11" s="78">
        <f>LOG10(M11)</f>
        <v>5.2174839442139067</v>
      </c>
      <c r="Q11" s="75">
        <v>0.36499999999999999</v>
      </c>
    </row>
    <row r="12" spans="1:17" x14ac:dyDescent="0.2">
      <c r="H12" s="61"/>
      <c r="I12" s="70"/>
      <c r="J12" s="28">
        <v>40</v>
      </c>
      <c r="K12" s="33">
        <v>1000</v>
      </c>
      <c r="L12" s="27">
        <f t="shared" si="1"/>
        <v>200000</v>
      </c>
      <c r="M12" s="77"/>
      <c r="N12" s="79"/>
      <c r="Q12" s="75"/>
    </row>
    <row r="13" spans="1:17" x14ac:dyDescent="0.2">
      <c r="H13" s="61"/>
      <c r="I13" s="70"/>
      <c r="J13" s="28">
        <v>32</v>
      </c>
      <c r="K13" s="33">
        <v>1000</v>
      </c>
      <c r="L13" s="25">
        <f t="shared" si="1"/>
        <v>160000</v>
      </c>
      <c r="M13" s="77"/>
      <c r="N13" s="79"/>
      <c r="Q13" s="75"/>
    </row>
    <row r="14" spans="1:17" x14ac:dyDescent="0.2">
      <c r="H14" s="62"/>
      <c r="I14" s="65" t="s">
        <v>22</v>
      </c>
      <c r="J14" s="24">
        <v>64</v>
      </c>
      <c r="K14" s="25">
        <v>1000</v>
      </c>
      <c r="L14" s="27">
        <f t="shared" si="1"/>
        <v>320000</v>
      </c>
      <c r="M14" s="72">
        <f>AVERAGE(L14:L16)</f>
        <v>360000</v>
      </c>
      <c r="N14" s="71">
        <f>LOG10(M14)</f>
        <v>5.5563025007672868</v>
      </c>
      <c r="Q14" s="85">
        <v>0.34100000000000003</v>
      </c>
    </row>
    <row r="15" spans="1:17" x14ac:dyDescent="0.2">
      <c r="H15" s="62"/>
      <c r="I15" s="65"/>
      <c r="J15" s="24">
        <v>74</v>
      </c>
      <c r="K15" s="25">
        <v>1000</v>
      </c>
      <c r="L15" s="27">
        <f t="shared" si="1"/>
        <v>370000</v>
      </c>
      <c r="M15" s="72"/>
      <c r="N15" s="71"/>
      <c r="Q15" s="85"/>
    </row>
    <row r="16" spans="1:17" ht="17" thickBot="1" x14ac:dyDescent="0.25">
      <c r="H16" s="62"/>
      <c r="I16" s="65"/>
      <c r="J16" s="24">
        <v>78</v>
      </c>
      <c r="K16" s="25">
        <v>1000</v>
      </c>
      <c r="L16" s="27">
        <f t="shared" si="1"/>
        <v>390000</v>
      </c>
      <c r="M16" s="72"/>
      <c r="N16" s="71"/>
      <c r="Q16" s="85"/>
    </row>
    <row r="17" spans="8:15" x14ac:dyDescent="0.2">
      <c r="H17" s="62"/>
      <c r="I17" s="73" t="s">
        <v>15</v>
      </c>
      <c r="J17" s="24">
        <f>J11+J14</f>
        <v>91</v>
      </c>
      <c r="K17" s="35">
        <v>1000</v>
      </c>
      <c r="L17" s="25">
        <f t="shared" si="1"/>
        <v>455000</v>
      </c>
      <c r="M17" s="66">
        <f>AVERAGE(L17:L19)</f>
        <v>525000</v>
      </c>
      <c r="N17" s="83">
        <f>LOG10(M17)</f>
        <v>5.720159303405957</v>
      </c>
      <c r="O17" s="80">
        <f>M11/M14</f>
        <v>0.45833333333333331</v>
      </c>
    </row>
    <row r="18" spans="8:15" x14ac:dyDescent="0.2">
      <c r="H18" s="63"/>
      <c r="I18" s="74"/>
      <c r="J18" s="24">
        <f>J12+J15</f>
        <v>114</v>
      </c>
      <c r="K18" s="36">
        <v>1000</v>
      </c>
      <c r="L18" s="25">
        <f t="shared" si="1"/>
        <v>570000</v>
      </c>
      <c r="M18" s="67"/>
      <c r="N18" s="84"/>
      <c r="O18" s="81"/>
    </row>
    <row r="19" spans="8:15" ht="17" thickBot="1" x14ac:dyDescent="0.25">
      <c r="H19" s="64"/>
      <c r="I19" s="93"/>
      <c r="J19" s="59">
        <f>J13+J16</f>
        <v>110</v>
      </c>
      <c r="K19" s="94">
        <v>1000</v>
      </c>
      <c r="L19" s="31">
        <f t="shared" si="1"/>
        <v>550000</v>
      </c>
      <c r="M19" s="95"/>
      <c r="N19" s="86"/>
      <c r="O19" s="82"/>
    </row>
    <row r="24" spans="8:15" ht="17" thickBot="1" x14ac:dyDescent="0.25"/>
    <row r="25" spans="8:15" ht="17" thickBot="1" x14ac:dyDescent="0.25">
      <c r="J25" s="45" t="s">
        <v>7</v>
      </c>
      <c r="K25" s="43" t="s">
        <v>16</v>
      </c>
    </row>
    <row r="26" spans="8:15" ht="60" customHeight="1" x14ac:dyDescent="0.2">
      <c r="H26" s="87" t="str">
        <f>H2</f>
        <v>BL006 vs BL048 LacZ</v>
      </c>
      <c r="I26" s="40" t="str">
        <f>I2</f>
        <v>BL006 - VBMXgal80 plates (white)</v>
      </c>
      <c r="J26" s="46">
        <f>N2</f>
        <v>5.2973957110088872</v>
      </c>
      <c r="K26" s="43"/>
    </row>
    <row r="27" spans="8:15" ht="60" customHeight="1" thickBot="1" x14ac:dyDescent="0.25">
      <c r="H27" s="88"/>
      <c r="I27" s="41" t="str">
        <f>I5</f>
        <v>BL048LacZ - VBMXgal80 plates (blue)</v>
      </c>
      <c r="J27" s="47">
        <f>N5</f>
        <v>5.2388820889151368</v>
      </c>
      <c r="K27" s="44"/>
    </row>
    <row r="28" spans="8:15" ht="17" thickBot="1" x14ac:dyDescent="0.25">
      <c r="H28" s="89"/>
      <c r="I28" s="42" t="s">
        <v>15</v>
      </c>
      <c r="J28" s="48">
        <f>N8</f>
        <v>5.5701536126645168</v>
      </c>
      <c r="K28" s="58">
        <f>O8</f>
        <v>1.1442307692307692</v>
      </c>
    </row>
    <row r="29" spans="8:15" ht="51" x14ac:dyDescent="0.2">
      <c r="H29" s="87" t="str">
        <f>H11</f>
        <v>BL048delant2 vs BL054 LacZ</v>
      </c>
      <c r="I29" s="96" t="str">
        <f>I11</f>
        <v>BL048delant2 - VBMXgal80 plates (white)</v>
      </c>
      <c r="J29" s="97">
        <f>N11</f>
        <v>5.2174839442139067</v>
      </c>
      <c r="K29" s="98"/>
    </row>
    <row r="30" spans="8:15" ht="52" thickBot="1" x14ac:dyDescent="0.25">
      <c r="H30" s="88"/>
      <c r="I30" s="49" t="str">
        <f>I14</f>
        <v>BL054LacZ - VBMXgal80 plates (blue)</v>
      </c>
      <c r="J30" s="51">
        <f>N14</f>
        <v>5.5563025007672868</v>
      </c>
      <c r="K30" s="50"/>
    </row>
    <row r="31" spans="8:15" ht="17" thickBot="1" x14ac:dyDescent="0.25">
      <c r="H31" s="90"/>
      <c r="I31" s="52" t="s">
        <v>15</v>
      </c>
      <c r="J31" s="53">
        <f>N17</f>
        <v>5.720159303405957</v>
      </c>
      <c r="K31" s="57">
        <f>O17</f>
        <v>0.45833333333333331</v>
      </c>
    </row>
  </sheetData>
  <mergeCells count="28">
    <mergeCell ref="H29:H31"/>
    <mergeCell ref="H26:H28"/>
    <mergeCell ref="I14:I16"/>
    <mergeCell ref="M14:M16"/>
    <mergeCell ref="N14:N16"/>
    <mergeCell ref="Q14:Q16"/>
    <mergeCell ref="H11:H19"/>
    <mergeCell ref="I11:I13"/>
    <mergeCell ref="M11:M13"/>
    <mergeCell ref="N11:N13"/>
    <mergeCell ref="I17:I19"/>
    <mergeCell ref="M17:M19"/>
    <mergeCell ref="N17:N19"/>
    <mergeCell ref="O17:O19"/>
    <mergeCell ref="Q11:Q13"/>
    <mergeCell ref="N8:N10"/>
    <mergeCell ref="N5:N7"/>
    <mergeCell ref="I8:I10"/>
    <mergeCell ref="Q2:Q4"/>
    <mergeCell ref="Q5:Q7"/>
    <mergeCell ref="I2:I4"/>
    <mergeCell ref="M2:M4"/>
    <mergeCell ref="N2:N4"/>
    <mergeCell ref="M5:M7"/>
    <mergeCell ref="O8:O10"/>
    <mergeCell ref="H2:H10"/>
    <mergeCell ref="M8:M10"/>
    <mergeCell ref="I5:I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86D40-825C-8140-88B8-F7EAC264E022}">
  <dimension ref="A1:M202"/>
  <sheetViews>
    <sheetView tabSelected="1" topLeftCell="A15" zoomScale="96" zoomScaleNormal="100" workbookViewId="0">
      <selection activeCell="J49" sqref="J49"/>
    </sheetView>
  </sheetViews>
  <sheetFormatPr baseColWidth="10" defaultRowHeight="16" x14ac:dyDescent="0.2"/>
  <cols>
    <col min="1" max="1" width="18" customWidth="1"/>
    <col min="8" max="10" width="10.83203125" style="3"/>
    <col min="13" max="13" width="13.1640625" style="55" customWidth="1"/>
  </cols>
  <sheetData>
    <row r="1" spans="1:13" ht="51" x14ac:dyDescent="0.2">
      <c r="A1" s="2" t="s">
        <v>33</v>
      </c>
      <c r="B1" s="91" t="s">
        <v>28</v>
      </c>
      <c r="C1" s="91"/>
      <c r="D1" s="5" t="s">
        <v>0</v>
      </c>
      <c r="E1" s="5" t="s">
        <v>3</v>
      </c>
      <c r="F1" s="5" t="s">
        <v>1</v>
      </c>
      <c r="G1" s="8" t="s">
        <v>2</v>
      </c>
      <c r="H1" s="92" t="s">
        <v>27</v>
      </c>
      <c r="I1" s="92"/>
      <c r="J1" s="38" t="s">
        <v>19</v>
      </c>
      <c r="K1" s="5" t="s">
        <v>29</v>
      </c>
      <c r="L1" s="5" t="s">
        <v>30</v>
      </c>
      <c r="M1" s="54" t="s">
        <v>17</v>
      </c>
    </row>
    <row r="2" spans="1:13" x14ac:dyDescent="0.2">
      <c r="A2" s="4" t="s">
        <v>10</v>
      </c>
      <c r="B2">
        <v>19</v>
      </c>
      <c r="C2">
        <v>24</v>
      </c>
      <c r="D2">
        <f>AVERAGE(B2:C2)</f>
        <v>21.5</v>
      </c>
      <c r="E2" s="4">
        <v>1000</v>
      </c>
      <c r="F2" s="4">
        <f>1843.4-1812.8</f>
        <v>30.600000000000136</v>
      </c>
      <c r="G2" s="9">
        <f>LOG10(D2*100*E2/F2*1000)</f>
        <v>7.8467170334340235</v>
      </c>
      <c r="H2" s="3">
        <v>29</v>
      </c>
      <c r="I2" s="3">
        <v>26</v>
      </c>
      <c r="J2" s="3">
        <v>1000</v>
      </c>
      <c r="K2" s="3">
        <f>AVERAGE(H2:I2)</f>
        <v>27.5</v>
      </c>
      <c r="L2">
        <f>(J2*K2)/(D2*E2)</f>
        <v>1.2790697674418605</v>
      </c>
      <c r="M2" s="55">
        <f>L2/dose!$O$8</f>
        <v>1.1178424858315421</v>
      </c>
    </row>
    <row r="3" spans="1:13" x14ac:dyDescent="0.2">
      <c r="A3" s="4" t="s">
        <v>11</v>
      </c>
      <c r="B3">
        <v>9</v>
      </c>
      <c r="C3">
        <v>9</v>
      </c>
      <c r="D3">
        <f t="shared" ref="D3:D6" si="0">AVERAGE(B3:C3)</f>
        <v>9</v>
      </c>
      <c r="E3" s="4">
        <v>10000</v>
      </c>
      <c r="F3" s="4">
        <f>1782.8-1723.7</f>
        <v>59.099999999999909</v>
      </c>
      <c r="G3" s="9">
        <f>LOG10(D3*100*E3/F3*1000)</f>
        <v>8.1826550285580701</v>
      </c>
      <c r="H3" s="3">
        <v>35</v>
      </c>
      <c r="I3" s="3">
        <v>30</v>
      </c>
      <c r="J3" s="3">
        <v>10000</v>
      </c>
      <c r="K3" s="3">
        <f t="shared" ref="K3:K6" si="1">AVERAGE(H3:I3)</f>
        <v>32.5</v>
      </c>
      <c r="L3">
        <f t="shared" ref="L3:L6" si="2">(J3*K3)/(D3*E3)</f>
        <v>3.6111111111111112</v>
      </c>
      <c r="M3" s="55">
        <f>L3/dose!$O$8</f>
        <v>3.1559290382819798</v>
      </c>
    </row>
    <row r="4" spans="1:13" x14ac:dyDescent="0.2">
      <c r="A4" s="4" t="s">
        <v>8</v>
      </c>
      <c r="B4">
        <v>10</v>
      </c>
      <c r="C4">
        <v>14</v>
      </c>
      <c r="D4">
        <f t="shared" si="0"/>
        <v>12</v>
      </c>
      <c r="E4" s="4">
        <v>1000</v>
      </c>
      <c r="F4" s="4">
        <f>1820.8-1712.3</f>
        <v>108.5</v>
      </c>
      <c r="G4" s="9">
        <f t="shared" ref="G4:G6" si="3">LOG10(D4*100*E4/F4*1000)</f>
        <v>7.0437515078630764</v>
      </c>
      <c r="H4" s="3">
        <v>19</v>
      </c>
      <c r="I4" s="3">
        <v>29</v>
      </c>
      <c r="J4" s="3">
        <v>10000</v>
      </c>
      <c r="K4" s="3">
        <f t="shared" si="1"/>
        <v>24</v>
      </c>
      <c r="L4">
        <f t="shared" si="2"/>
        <v>20</v>
      </c>
      <c r="M4" s="55">
        <f>L4/dose!$O$8</f>
        <v>17.478991596638657</v>
      </c>
    </row>
    <row r="5" spans="1:13" x14ac:dyDescent="0.2">
      <c r="A5" s="4" t="s">
        <v>13</v>
      </c>
      <c r="B5">
        <v>3</v>
      </c>
      <c r="C5">
        <v>1</v>
      </c>
      <c r="D5">
        <f t="shared" si="0"/>
        <v>2</v>
      </c>
      <c r="E5" s="4">
        <v>100</v>
      </c>
      <c r="F5" s="4">
        <f>1789.2-1707.5</f>
        <v>81.700000000000045</v>
      </c>
      <c r="G5" s="9">
        <f t="shared" si="3"/>
        <v>5.3888079391315653</v>
      </c>
      <c r="H5" s="3">
        <v>17</v>
      </c>
      <c r="I5" s="3">
        <v>14</v>
      </c>
      <c r="J5" s="3">
        <v>100</v>
      </c>
      <c r="K5" s="3">
        <f t="shared" si="1"/>
        <v>15.5</v>
      </c>
      <c r="L5">
        <f t="shared" si="2"/>
        <v>7.75</v>
      </c>
      <c r="M5" s="55">
        <f>L5/dose!$O$8</f>
        <v>6.7731092436974798</v>
      </c>
    </row>
    <row r="6" spans="1:13" ht="16" customHeight="1" x14ac:dyDescent="0.2">
      <c r="A6" s="5" t="s">
        <v>12</v>
      </c>
      <c r="B6" s="7">
        <v>0</v>
      </c>
      <c r="C6" s="7">
        <v>0</v>
      </c>
      <c r="D6">
        <f t="shared" si="0"/>
        <v>0</v>
      </c>
      <c r="E6" s="5">
        <v>1</v>
      </c>
      <c r="F6" s="5">
        <f>1820.6-1717.6</f>
        <v>103</v>
      </c>
      <c r="G6" s="9" t="e">
        <f t="shared" si="3"/>
        <v>#NUM!</v>
      </c>
      <c r="H6" s="3">
        <v>0</v>
      </c>
      <c r="I6" s="3">
        <v>0</v>
      </c>
      <c r="J6" s="3">
        <v>1</v>
      </c>
      <c r="K6" s="3">
        <f t="shared" si="1"/>
        <v>0</v>
      </c>
      <c r="L6" t="e">
        <f t="shared" si="2"/>
        <v>#DIV/0!</v>
      </c>
      <c r="M6" s="55" t="e">
        <f>L6/dose!$O$8</f>
        <v>#DIV/0!</v>
      </c>
    </row>
    <row r="7" spans="1:13" x14ac:dyDescent="0.2">
      <c r="A7" s="4"/>
      <c r="E7" s="4"/>
      <c r="F7" s="4"/>
      <c r="G7" s="9"/>
    </row>
    <row r="8" spans="1:13" ht="51" customHeight="1" x14ac:dyDescent="0.2">
      <c r="A8" s="2" t="s">
        <v>34</v>
      </c>
      <c r="B8" s="91" t="s">
        <v>26</v>
      </c>
      <c r="C8" s="91"/>
      <c r="D8" s="5" t="s">
        <v>0</v>
      </c>
      <c r="E8" s="5" t="s">
        <v>3</v>
      </c>
      <c r="F8" s="5" t="s">
        <v>1</v>
      </c>
      <c r="G8" s="8" t="s">
        <v>2</v>
      </c>
      <c r="H8" s="92" t="s">
        <v>27</v>
      </c>
      <c r="I8" s="92"/>
      <c r="J8" s="38" t="s">
        <v>19</v>
      </c>
      <c r="K8" s="5" t="s">
        <v>29</v>
      </c>
      <c r="L8" s="5" t="s">
        <v>30</v>
      </c>
      <c r="M8" s="54" t="s">
        <v>17</v>
      </c>
    </row>
    <row r="9" spans="1:13" x14ac:dyDescent="0.2">
      <c r="A9" s="4" t="s">
        <v>10</v>
      </c>
      <c r="B9">
        <v>32</v>
      </c>
      <c r="C9">
        <v>33</v>
      </c>
      <c r="D9">
        <f>AVERAGE(B9:C9)</f>
        <v>32.5</v>
      </c>
      <c r="E9" s="4">
        <v>1000</v>
      </c>
      <c r="F9" s="4">
        <f>1855.9-1819.6</f>
        <v>36.300000000000182</v>
      </c>
      <c r="G9" s="9">
        <f>LOG10(D9*100*E9/F9*1000)</f>
        <v>7.9519767359427593</v>
      </c>
      <c r="H9" s="3">
        <v>6</v>
      </c>
      <c r="I9" s="3">
        <v>2</v>
      </c>
      <c r="J9" s="3">
        <v>1000</v>
      </c>
      <c r="K9" s="3">
        <f>AVERAGE(H9:I9)</f>
        <v>4</v>
      </c>
      <c r="L9">
        <f>(J9*K9)/(D9*E9)</f>
        <v>0.12307692307692308</v>
      </c>
      <c r="M9" s="55">
        <f>L9/dose!$O$8</f>
        <v>0.10756302521008404</v>
      </c>
    </row>
    <row r="10" spans="1:13" x14ac:dyDescent="0.2">
      <c r="A10" s="4" t="s">
        <v>11</v>
      </c>
      <c r="B10">
        <v>37</v>
      </c>
      <c r="C10">
        <v>62</v>
      </c>
      <c r="D10">
        <f t="shared" ref="D10:D13" si="4">AVERAGE(B10:C10)</f>
        <v>49.5</v>
      </c>
      <c r="E10" s="4">
        <v>1000</v>
      </c>
      <c r="F10" s="4">
        <f>1814-1783.6</f>
        <v>30.400000000000091</v>
      </c>
      <c r="G10" s="9">
        <f>LOG10(D10*100*E10/F10*1000)</f>
        <v>8.2117316153248137</v>
      </c>
      <c r="H10" s="3">
        <v>33</v>
      </c>
      <c r="I10" s="3">
        <v>20</v>
      </c>
      <c r="J10" s="3">
        <v>1000</v>
      </c>
      <c r="K10" s="3">
        <f t="shared" ref="K10:K13" si="5">AVERAGE(H10:I10)</f>
        <v>26.5</v>
      </c>
      <c r="L10">
        <f t="shared" ref="L10:L13" si="6">(J10*K10)/(D10*E10)</f>
        <v>0.53535353535353536</v>
      </c>
      <c r="M10" s="55">
        <f>L10/dose!$O$8</f>
        <v>0.467871997283762</v>
      </c>
    </row>
    <row r="11" spans="1:13" x14ac:dyDescent="0.2">
      <c r="A11" s="4" t="s">
        <v>8</v>
      </c>
      <c r="B11">
        <v>17</v>
      </c>
      <c r="C11">
        <v>22</v>
      </c>
      <c r="D11">
        <f t="shared" si="4"/>
        <v>19.5</v>
      </c>
      <c r="E11" s="4">
        <v>100</v>
      </c>
      <c r="F11" s="4">
        <f>1822.2-1791.1</f>
        <v>31.100000000000136</v>
      </c>
      <c r="G11" s="9">
        <f t="shared" ref="G11:G13" si="7">LOG10(D11*100*E11/F11*1000)</f>
        <v>6.7972742223356786</v>
      </c>
      <c r="H11" s="3">
        <v>36</v>
      </c>
      <c r="I11" s="3">
        <v>45</v>
      </c>
      <c r="J11" s="3">
        <v>100</v>
      </c>
      <c r="K11" s="3">
        <f t="shared" si="5"/>
        <v>40.5</v>
      </c>
      <c r="L11">
        <f t="shared" si="6"/>
        <v>2.0769230769230771</v>
      </c>
      <c r="M11" s="55">
        <f>L11/dose!$O$8</f>
        <v>1.8151260504201683</v>
      </c>
    </row>
    <row r="12" spans="1:13" x14ac:dyDescent="0.2">
      <c r="A12" s="4" t="s">
        <v>13</v>
      </c>
      <c r="B12">
        <v>3</v>
      </c>
      <c r="C12">
        <v>4</v>
      </c>
      <c r="D12">
        <f t="shared" si="4"/>
        <v>3.5</v>
      </c>
      <c r="E12" s="4">
        <v>10</v>
      </c>
      <c r="F12" s="4">
        <f>1839.2-1784.5</f>
        <v>54.700000000000045</v>
      </c>
      <c r="G12" s="9">
        <f t="shared" si="7"/>
        <v>4.8060807180168448</v>
      </c>
      <c r="H12" s="3">
        <v>11</v>
      </c>
      <c r="I12" s="3">
        <v>21</v>
      </c>
      <c r="J12" s="3">
        <v>100</v>
      </c>
      <c r="K12" s="3">
        <f t="shared" si="5"/>
        <v>16</v>
      </c>
      <c r="L12">
        <f t="shared" si="6"/>
        <v>45.714285714285715</v>
      </c>
      <c r="M12" s="55">
        <f>L12/dose!$O$8</f>
        <v>39.951980792316931</v>
      </c>
    </row>
    <row r="13" spans="1:13" ht="17" x14ac:dyDescent="0.2">
      <c r="A13" s="5" t="s">
        <v>12</v>
      </c>
      <c r="B13" s="7">
        <v>1</v>
      </c>
      <c r="C13" s="7">
        <v>1</v>
      </c>
      <c r="D13">
        <f t="shared" si="4"/>
        <v>1</v>
      </c>
      <c r="E13" s="5">
        <v>1</v>
      </c>
      <c r="F13" s="5">
        <f>1799.6-1717.7</f>
        <v>81.899999999999864</v>
      </c>
      <c r="G13" s="9">
        <f t="shared" si="7"/>
        <v>3.0867160982395823</v>
      </c>
      <c r="H13" s="3">
        <v>7</v>
      </c>
      <c r="I13" s="3">
        <v>6</v>
      </c>
      <c r="J13" s="3">
        <v>1</v>
      </c>
      <c r="K13" s="3">
        <f t="shared" si="5"/>
        <v>6.5</v>
      </c>
      <c r="L13">
        <f t="shared" si="6"/>
        <v>6.5</v>
      </c>
      <c r="M13" s="55">
        <f>L13/dose!$O$8</f>
        <v>5.6806722689075633</v>
      </c>
    </row>
    <row r="14" spans="1:13" x14ac:dyDescent="0.2">
      <c r="A14" s="4"/>
      <c r="E14" s="4"/>
      <c r="F14" s="4"/>
      <c r="G14" s="9"/>
    </row>
    <row r="15" spans="1:13" ht="51" customHeight="1" x14ac:dyDescent="0.2">
      <c r="A15" s="2" t="s">
        <v>35</v>
      </c>
      <c r="B15" s="91" t="s">
        <v>26</v>
      </c>
      <c r="C15" s="91"/>
      <c r="D15" s="5" t="s">
        <v>0</v>
      </c>
      <c r="E15" s="5" t="s">
        <v>3</v>
      </c>
      <c r="F15" s="5" t="s">
        <v>1</v>
      </c>
      <c r="G15" s="8" t="s">
        <v>2</v>
      </c>
      <c r="H15" s="92" t="s">
        <v>27</v>
      </c>
      <c r="I15" s="92"/>
      <c r="J15" s="38" t="s">
        <v>19</v>
      </c>
      <c r="K15" s="5" t="s">
        <v>29</v>
      </c>
      <c r="L15" s="5" t="s">
        <v>30</v>
      </c>
      <c r="M15" s="54" t="s">
        <v>17</v>
      </c>
    </row>
    <row r="16" spans="1:13" x14ac:dyDescent="0.2">
      <c r="A16" s="4" t="s">
        <v>10</v>
      </c>
      <c r="B16">
        <v>4</v>
      </c>
      <c r="C16">
        <v>5</v>
      </c>
      <c r="D16">
        <f>AVERAGE(B16:C16)</f>
        <v>4.5</v>
      </c>
      <c r="E16" s="4">
        <v>10000</v>
      </c>
      <c r="F16" s="4">
        <f>1795-1764.8</f>
        <v>30.200000000000045</v>
      </c>
      <c r="G16" s="9">
        <f>LOG10(D16*100*E16/F16*1000)</f>
        <v>8.1732055708181921</v>
      </c>
      <c r="H16" s="3">
        <v>12</v>
      </c>
      <c r="I16" s="3">
        <v>9</v>
      </c>
      <c r="J16" s="3">
        <v>10000</v>
      </c>
      <c r="K16" s="3">
        <f>AVERAGE(H16:I16)</f>
        <v>10.5</v>
      </c>
      <c r="L16">
        <f>(J16*K16)/(D16*E16)</f>
        <v>2.3333333333333335</v>
      </c>
      <c r="M16" s="55">
        <f>L16/dose!$O$8</f>
        <v>2.0392156862745101</v>
      </c>
    </row>
    <row r="17" spans="1:13" x14ac:dyDescent="0.2">
      <c r="A17" s="4" t="s">
        <v>11</v>
      </c>
      <c r="B17">
        <v>12</v>
      </c>
      <c r="C17">
        <v>14</v>
      </c>
      <c r="D17">
        <f t="shared" ref="D17:D20" si="8">AVERAGE(B17:C17)</f>
        <v>13</v>
      </c>
      <c r="E17" s="4">
        <v>10000</v>
      </c>
      <c r="F17" s="4">
        <f>1749.4-1718.9</f>
        <v>30.5</v>
      </c>
      <c r="G17" s="9">
        <f>LOG10(D17*100*E17/F17*1000)</f>
        <v>8.6296435129600511</v>
      </c>
      <c r="H17" s="3">
        <v>62</v>
      </c>
      <c r="I17" s="3">
        <v>57</v>
      </c>
      <c r="J17" s="3">
        <v>10000</v>
      </c>
      <c r="K17" s="3">
        <f t="shared" ref="K17:K20" si="9">AVERAGE(H17:I17)</f>
        <v>59.5</v>
      </c>
      <c r="L17">
        <f t="shared" ref="L17:L20" si="10">(J17*K17)/(D17*E17)</f>
        <v>4.5769230769230766</v>
      </c>
      <c r="M17" s="55">
        <f>L17/dose!$O$8</f>
        <v>4</v>
      </c>
    </row>
    <row r="18" spans="1:13" x14ac:dyDescent="0.2">
      <c r="A18" s="4" t="s">
        <v>8</v>
      </c>
      <c r="B18">
        <v>28</v>
      </c>
      <c r="C18">
        <v>23</v>
      </c>
      <c r="D18">
        <f t="shared" si="8"/>
        <v>25.5</v>
      </c>
      <c r="E18" s="4">
        <v>1000</v>
      </c>
      <c r="F18" s="4">
        <f>1796.4-1718.8</f>
        <v>77.600000000000136</v>
      </c>
      <c r="G18" s="9">
        <f t="shared" ref="G18:G20" si="11">LOG10(D18*100*E18/F18*1000)</f>
        <v>7.5166784591757656</v>
      </c>
      <c r="H18" s="3">
        <v>35</v>
      </c>
      <c r="I18" s="3">
        <v>36</v>
      </c>
      <c r="J18" s="3">
        <v>100000</v>
      </c>
      <c r="K18" s="3">
        <f t="shared" si="9"/>
        <v>35.5</v>
      </c>
      <c r="L18">
        <f t="shared" si="10"/>
        <v>139.21568627450981</v>
      </c>
      <c r="M18" s="55">
        <f>L18/dose!$O$8</f>
        <v>121.66749052562203</v>
      </c>
    </row>
    <row r="19" spans="1:13" x14ac:dyDescent="0.2">
      <c r="A19" s="4" t="s">
        <v>13</v>
      </c>
      <c r="B19">
        <v>500</v>
      </c>
      <c r="D19">
        <f t="shared" si="8"/>
        <v>500</v>
      </c>
      <c r="E19" s="4">
        <v>1</v>
      </c>
      <c r="F19" s="4">
        <f>1870.3-1845.3</f>
        <v>25</v>
      </c>
      <c r="G19" s="9">
        <f t="shared" si="11"/>
        <v>6.3010299956639813</v>
      </c>
      <c r="H19" s="3">
        <v>12</v>
      </c>
      <c r="I19" s="3">
        <v>7</v>
      </c>
      <c r="J19" s="3">
        <v>100000</v>
      </c>
      <c r="K19" s="3">
        <f t="shared" si="9"/>
        <v>9.5</v>
      </c>
      <c r="L19">
        <f t="shared" si="10"/>
        <v>1900</v>
      </c>
      <c r="M19" s="55">
        <f>L19/dose!$O$8</f>
        <v>1660.5042016806724</v>
      </c>
    </row>
    <row r="20" spans="1:13" ht="17" x14ac:dyDescent="0.2">
      <c r="A20" s="5" t="s">
        <v>40</v>
      </c>
      <c r="B20" s="7"/>
      <c r="C20" s="7"/>
      <c r="D20" t="e">
        <f t="shared" si="8"/>
        <v>#DIV/0!</v>
      </c>
      <c r="E20" s="5"/>
      <c r="F20" s="5"/>
      <c r="G20" s="9" t="e">
        <f t="shared" si="11"/>
        <v>#DIV/0!</v>
      </c>
      <c r="K20" s="3" t="e">
        <f t="shared" si="9"/>
        <v>#DIV/0!</v>
      </c>
      <c r="L20" t="e">
        <f t="shared" si="10"/>
        <v>#DIV/0!</v>
      </c>
      <c r="M20" s="55" t="e">
        <f>L20/dose!$O$8</f>
        <v>#DIV/0!</v>
      </c>
    </row>
    <row r="21" spans="1:13" x14ac:dyDescent="0.2">
      <c r="A21" s="4"/>
      <c r="E21" s="4"/>
      <c r="F21" s="4"/>
      <c r="G21" s="9"/>
    </row>
    <row r="22" spans="1:13" ht="51" customHeight="1" x14ac:dyDescent="0.2">
      <c r="A22" s="2" t="s">
        <v>36</v>
      </c>
      <c r="B22" s="91" t="s">
        <v>26</v>
      </c>
      <c r="C22" s="91"/>
      <c r="D22" s="5" t="s">
        <v>0</v>
      </c>
      <c r="E22" s="5" t="s">
        <v>3</v>
      </c>
      <c r="F22" s="5" t="s">
        <v>1</v>
      </c>
      <c r="G22" s="8" t="s">
        <v>2</v>
      </c>
      <c r="H22" s="92" t="s">
        <v>27</v>
      </c>
      <c r="I22" s="92"/>
      <c r="J22" s="38" t="s">
        <v>19</v>
      </c>
      <c r="K22" s="5" t="s">
        <v>29</v>
      </c>
      <c r="L22" s="5" t="s">
        <v>30</v>
      </c>
      <c r="M22" s="54" t="s">
        <v>17</v>
      </c>
    </row>
    <row r="23" spans="1:13" x14ac:dyDescent="0.2">
      <c r="A23" s="4" t="s">
        <v>10</v>
      </c>
      <c r="B23">
        <v>32</v>
      </c>
      <c r="C23">
        <v>44</v>
      </c>
      <c r="D23">
        <f>AVERAGE(B23:C23)</f>
        <v>38</v>
      </c>
      <c r="E23" s="4">
        <v>100</v>
      </c>
      <c r="F23" s="4">
        <f>1761.6-1741.1</f>
        <v>20.5</v>
      </c>
      <c r="G23" s="9">
        <f>LOG10(D23*100*E23/F23*1000)</f>
        <v>7.2680297355610559</v>
      </c>
      <c r="H23" s="3">
        <v>0</v>
      </c>
      <c r="J23" s="3">
        <v>10</v>
      </c>
      <c r="K23" s="3">
        <f>AVERAGE(H23:I23)</f>
        <v>0</v>
      </c>
      <c r="L23">
        <f>(J23*K23)/(D23*E23)</f>
        <v>0</v>
      </c>
      <c r="M23" s="55">
        <f>L23/dose!$O$8</f>
        <v>0</v>
      </c>
    </row>
    <row r="24" spans="1:13" ht="16" customHeight="1" x14ac:dyDescent="0.2">
      <c r="A24" s="4" t="s">
        <v>11</v>
      </c>
      <c r="B24">
        <v>4</v>
      </c>
      <c r="C24">
        <v>4</v>
      </c>
      <c r="D24">
        <f t="shared" ref="D24:D27" si="12">AVERAGE(B24:C24)</f>
        <v>4</v>
      </c>
      <c r="E24" s="4">
        <v>10</v>
      </c>
      <c r="F24" s="4">
        <f>1759.2-1728</f>
        <v>31.200000000000045</v>
      </c>
      <c r="G24" s="9">
        <f>LOG10(D24*100*E24/F24*1000)</f>
        <v>5.1079053973095192</v>
      </c>
      <c r="H24" s="3">
        <v>12</v>
      </c>
      <c r="I24" s="3">
        <v>16</v>
      </c>
      <c r="J24" s="3">
        <v>10</v>
      </c>
      <c r="K24" s="3">
        <f t="shared" ref="K24:K27" si="13">AVERAGE(H24:I24)</f>
        <v>14</v>
      </c>
      <c r="L24">
        <f>(J24*K24)/(D24*E24)</f>
        <v>3.5</v>
      </c>
      <c r="M24" s="55">
        <f>L24/dose!$O$8</f>
        <v>3.0588235294117649</v>
      </c>
    </row>
    <row r="25" spans="1:13" ht="16" customHeight="1" x14ac:dyDescent="0.2">
      <c r="A25" s="4" t="s">
        <v>8</v>
      </c>
      <c r="B25">
        <v>8</v>
      </c>
      <c r="C25">
        <v>4</v>
      </c>
      <c r="D25">
        <f t="shared" si="12"/>
        <v>6</v>
      </c>
      <c r="E25" s="4">
        <v>1</v>
      </c>
      <c r="F25" s="4">
        <f>1857.6-1836.3</f>
        <v>21.299999999999955</v>
      </c>
      <c r="G25" s="9">
        <f>LOG10(D25*100*E25/F25*1000)</f>
        <v>4.4497716469449067</v>
      </c>
      <c r="H25" s="3">
        <v>46</v>
      </c>
      <c r="I25" s="3">
        <v>53</v>
      </c>
      <c r="J25" s="3">
        <v>100</v>
      </c>
      <c r="K25" s="3">
        <f t="shared" si="13"/>
        <v>49.5</v>
      </c>
      <c r="L25">
        <f>(J25*K25)/(D25*E25)</f>
        <v>825</v>
      </c>
      <c r="M25" s="55">
        <f>L25/dose!$O$8</f>
        <v>721.00840336134456</v>
      </c>
    </row>
    <row r="26" spans="1:13" x14ac:dyDescent="0.2">
      <c r="A26" s="4" t="s">
        <v>13</v>
      </c>
      <c r="B26">
        <v>1</v>
      </c>
      <c r="C26">
        <v>0</v>
      </c>
      <c r="D26">
        <f t="shared" si="12"/>
        <v>0.5</v>
      </c>
      <c r="E26" s="4">
        <v>1</v>
      </c>
      <c r="F26" s="4">
        <f>1787.4-1738.2</f>
        <v>49.200000000000045</v>
      </c>
      <c r="G26" s="9">
        <f>LOG10(D26*100*E26/F26*1000)</f>
        <v>3.0070049015686582</v>
      </c>
      <c r="H26" s="3">
        <v>32</v>
      </c>
      <c r="I26" s="3">
        <v>35</v>
      </c>
      <c r="J26" s="3">
        <v>10</v>
      </c>
      <c r="K26" s="3">
        <f t="shared" si="13"/>
        <v>33.5</v>
      </c>
      <c r="L26">
        <f>(J26*K26)/(D26*E26)</f>
        <v>670</v>
      </c>
      <c r="M26" s="55">
        <f>L26/dose!$O$8</f>
        <v>585.54621848739498</v>
      </c>
    </row>
    <row r="27" spans="1:13" ht="17" x14ac:dyDescent="0.2">
      <c r="A27" s="5" t="s">
        <v>12</v>
      </c>
      <c r="B27" s="7">
        <v>0</v>
      </c>
      <c r="C27" s="7">
        <v>0</v>
      </c>
      <c r="D27">
        <f t="shared" si="12"/>
        <v>0</v>
      </c>
      <c r="E27" s="5">
        <v>1</v>
      </c>
      <c r="F27" s="5">
        <f>1790.4-1734.2</f>
        <v>56.200000000000045</v>
      </c>
      <c r="G27" s="9" t="e">
        <f>LOG10(D27*100*E27/F27*1000)</f>
        <v>#NUM!</v>
      </c>
      <c r="H27" s="3">
        <v>36</v>
      </c>
      <c r="I27" s="3">
        <v>40</v>
      </c>
      <c r="J27" s="3">
        <v>1</v>
      </c>
      <c r="K27" s="3">
        <f t="shared" si="13"/>
        <v>38</v>
      </c>
      <c r="L27" t="e">
        <f>(J27*K27)/(D27*E27)</f>
        <v>#DIV/0!</v>
      </c>
      <c r="M27" s="55" t="e">
        <f>L27/dose!$O$8</f>
        <v>#DIV/0!</v>
      </c>
    </row>
    <row r="28" spans="1:13" x14ac:dyDescent="0.2">
      <c r="A28" s="4"/>
      <c r="E28" s="4"/>
      <c r="F28" s="4"/>
      <c r="G28" s="9"/>
    </row>
    <row r="29" spans="1:13" ht="51" customHeight="1" x14ac:dyDescent="0.2">
      <c r="A29" s="2" t="s">
        <v>37</v>
      </c>
      <c r="B29" s="91" t="s">
        <v>26</v>
      </c>
      <c r="C29" s="91"/>
      <c r="D29" s="5" t="s">
        <v>0</v>
      </c>
      <c r="E29" s="5" t="s">
        <v>3</v>
      </c>
      <c r="F29" s="5" t="s">
        <v>1</v>
      </c>
      <c r="G29" s="8" t="s">
        <v>2</v>
      </c>
      <c r="H29" s="92" t="s">
        <v>27</v>
      </c>
      <c r="I29" s="92"/>
      <c r="J29" s="38" t="s">
        <v>19</v>
      </c>
      <c r="K29" s="5" t="s">
        <v>29</v>
      </c>
      <c r="L29" s="5" t="s">
        <v>30</v>
      </c>
      <c r="M29" s="54" t="s">
        <v>17</v>
      </c>
    </row>
    <row r="30" spans="1:13" x14ac:dyDescent="0.2">
      <c r="A30" s="4" t="s">
        <v>10</v>
      </c>
      <c r="B30">
        <v>46</v>
      </c>
      <c r="C30">
        <v>51</v>
      </c>
      <c r="D30">
        <f>AVERAGE(B30:C30)</f>
        <v>48.5</v>
      </c>
      <c r="E30" s="4">
        <v>100</v>
      </c>
      <c r="F30" s="4">
        <f>1802.8-1791.9</f>
        <v>10.899999999999864</v>
      </c>
      <c r="G30" s="9">
        <f>LOG10(D30*100*E30/F30*1000)</f>
        <v>7.6483152406616455</v>
      </c>
      <c r="H30" s="3">
        <v>0</v>
      </c>
      <c r="J30" s="3">
        <v>10</v>
      </c>
      <c r="K30" s="3">
        <f>AVERAGE(H30:I30)</f>
        <v>0</v>
      </c>
      <c r="L30">
        <f>(J30*K30)/(D30*E30)</f>
        <v>0</v>
      </c>
      <c r="M30" s="55">
        <f>L30/dose!$O$8</f>
        <v>0</v>
      </c>
    </row>
    <row r="31" spans="1:13" x14ac:dyDescent="0.2">
      <c r="A31" s="4" t="s">
        <v>11</v>
      </c>
      <c r="B31">
        <v>13</v>
      </c>
      <c r="C31">
        <v>17</v>
      </c>
      <c r="D31">
        <f t="shared" ref="D31:D34" si="14">AVERAGE(B31:C31)</f>
        <v>15</v>
      </c>
      <c r="E31" s="4">
        <v>10000</v>
      </c>
      <c r="F31" s="4">
        <f>1720.8-1712.2</f>
        <v>8.5999999999999091</v>
      </c>
      <c r="G31" s="9">
        <f>LOG10(D31*100*E31/F31*1000)</f>
        <v>9.2415928078121183</v>
      </c>
      <c r="H31" s="3">
        <v>0</v>
      </c>
      <c r="I31" s="3">
        <v>1</v>
      </c>
      <c r="J31" s="3">
        <v>1000</v>
      </c>
      <c r="K31" s="3">
        <f t="shared" ref="K31:K34" si="15">AVERAGE(H31:I31)</f>
        <v>0.5</v>
      </c>
      <c r="L31">
        <f t="shared" ref="L31:L34" si="16">(J31*K31)/(D31*E31)</f>
        <v>3.3333333333333335E-3</v>
      </c>
      <c r="M31" s="55">
        <f>L31/dose!$O$8</f>
        <v>2.913165266106443E-3</v>
      </c>
    </row>
    <row r="32" spans="1:13" x14ac:dyDescent="0.2">
      <c r="A32" s="4" t="s">
        <v>8</v>
      </c>
      <c r="B32">
        <v>26</v>
      </c>
      <c r="C32">
        <v>29</v>
      </c>
      <c r="D32">
        <f t="shared" si="14"/>
        <v>27.5</v>
      </c>
      <c r="E32" s="4">
        <v>10000</v>
      </c>
      <c r="F32" s="4">
        <f>1770.1-1710.4</f>
        <v>59.699999999999818</v>
      </c>
      <c r="G32" s="9">
        <f t="shared" ref="G32:G34" si="17">LOG10(D32*100*E32/F32*1000)</f>
        <v>8.6633583627008957</v>
      </c>
      <c r="H32" s="3">
        <v>13</v>
      </c>
      <c r="I32" s="3">
        <v>25</v>
      </c>
      <c r="J32" s="3">
        <v>10000</v>
      </c>
      <c r="K32" s="3">
        <f t="shared" si="15"/>
        <v>19</v>
      </c>
      <c r="L32">
        <f t="shared" si="16"/>
        <v>0.69090909090909092</v>
      </c>
      <c r="M32" s="55">
        <f>L32/dose!$O$8</f>
        <v>0.60381970970206267</v>
      </c>
    </row>
    <row r="33" spans="1:13" x14ac:dyDescent="0.2">
      <c r="A33" s="4" t="s">
        <v>13</v>
      </c>
      <c r="B33">
        <v>7</v>
      </c>
      <c r="C33">
        <v>9</v>
      </c>
      <c r="D33">
        <f t="shared" si="14"/>
        <v>8</v>
      </c>
      <c r="E33" s="4">
        <v>1000</v>
      </c>
      <c r="F33" s="4">
        <f>1803.1-1728.6</f>
        <v>74.5</v>
      </c>
      <c r="G33" s="9">
        <f t="shared" si="17"/>
        <v>7.030933714243651</v>
      </c>
      <c r="H33" s="3">
        <v>32</v>
      </c>
      <c r="I33" s="3">
        <v>35</v>
      </c>
      <c r="J33" s="3">
        <v>1000</v>
      </c>
      <c r="K33" s="3">
        <f>AVERAGE(H33:I33)</f>
        <v>33.5</v>
      </c>
      <c r="L33">
        <f t="shared" si="16"/>
        <v>4.1875</v>
      </c>
      <c r="M33" s="55">
        <f>L33/dose!$O$8</f>
        <v>3.6596638655462188</v>
      </c>
    </row>
    <row r="34" spans="1:13" ht="17" x14ac:dyDescent="0.2">
      <c r="A34" s="5" t="s">
        <v>12</v>
      </c>
      <c r="B34" s="7">
        <v>1</v>
      </c>
      <c r="C34" s="7">
        <v>4</v>
      </c>
      <c r="D34">
        <f t="shared" si="14"/>
        <v>2.5</v>
      </c>
      <c r="E34" s="5">
        <v>1</v>
      </c>
      <c r="F34" s="5">
        <f>1960.9-1858.3</f>
        <v>102.60000000000014</v>
      </c>
      <c r="G34" s="9">
        <f t="shared" si="17"/>
        <v>3.3867926478962396</v>
      </c>
      <c r="H34" s="3">
        <v>7</v>
      </c>
      <c r="I34" s="3">
        <v>5</v>
      </c>
      <c r="J34" s="3">
        <v>10</v>
      </c>
      <c r="K34" s="3">
        <f t="shared" si="15"/>
        <v>6</v>
      </c>
      <c r="L34">
        <f t="shared" si="16"/>
        <v>24</v>
      </c>
      <c r="M34" s="55">
        <f>L34/dose!$O$8</f>
        <v>20.974789915966387</v>
      </c>
    </row>
    <row r="35" spans="1:13" s="22" customFormat="1" x14ac:dyDescent="0.2">
      <c r="A35" s="21"/>
      <c r="E35" s="21"/>
      <c r="F35" s="21"/>
      <c r="G35" s="23"/>
      <c r="H35" s="39"/>
      <c r="I35" s="39"/>
      <c r="J35" s="39"/>
      <c r="M35" s="56"/>
    </row>
    <row r="36" spans="1:13" ht="51" customHeight="1" x14ac:dyDescent="0.2">
      <c r="A36" s="2" t="s">
        <v>38</v>
      </c>
      <c r="B36" s="91" t="s">
        <v>31</v>
      </c>
      <c r="C36" s="91"/>
      <c r="D36" s="5" t="s">
        <v>0</v>
      </c>
      <c r="E36" s="5" t="s">
        <v>3</v>
      </c>
      <c r="F36" s="5" t="s">
        <v>1</v>
      </c>
      <c r="G36" s="8" t="s">
        <v>2</v>
      </c>
      <c r="H36" s="92" t="s">
        <v>32</v>
      </c>
      <c r="I36" s="92"/>
      <c r="J36" s="38" t="s">
        <v>19</v>
      </c>
      <c r="K36" s="5" t="s">
        <v>29</v>
      </c>
      <c r="L36" s="5" t="s">
        <v>30</v>
      </c>
      <c r="M36" s="54" t="s">
        <v>17</v>
      </c>
    </row>
    <row r="37" spans="1:13" x14ac:dyDescent="0.2">
      <c r="A37" s="4" t="s">
        <v>10</v>
      </c>
      <c r="B37">
        <v>24</v>
      </c>
      <c r="C37">
        <v>30</v>
      </c>
      <c r="D37">
        <f>AVERAGE(B37:C37)</f>
        <v>27</v>
      </c>
      <c r="E37" s="4">
        <v>1</v>
      </c>
      <c r="F37" s="4">
        <f>1747.6-1731.9</f>
        <v>15.699999999999818</v>
      </c>
      <c r="G37" s="9">
        <f>LOG10(D37*100*E37/F37*1000)</f>
        <v>5.2354641117497582</v>
      </c>
      <c r="H37" s="3">
        <v>43</v>
      </c>
      <c r="I37" s="3">
        <v>43</v>
      </c>
      <c r="J37" s="3">
        <v>10</v>
      </c>
      <c r="K37" s="3">
        <f>AVERAGE(H37:I37)</f>
        <v>43</v>
      </c>
      <c r="L37">
        <f>(J37*K37)/(D37*E37)</f>
        <v>15.925925925925926</v>
      </c>
      <c r="M37" s="55">
        <f>L37/dose!$O$17</f>
        <v>34.747474747474747</v>
      </c>
    </row>
    <row r="38" spans="1:13" x14ac:dyDescent="0.2">
      <c r="A38" s="4" t="s">
        <v>11</v>
      </c>
      <c r="B38">
        <v>28</v>
      </c>
      <c r="C38">
        <v>38</v>
      </c>
      <c r="D38">
        <f t="shared" ref="D38:D41" si="18">AVERAGE(B38:C38)</f>
        <v>33</v>
      </c>
      <c r="E38" s="4">
        <v>1000</v>
      </c>
      <c r="F38" s="4">
        <f>1815-1793.4</f>
        <v>21.599999999999909</v>
      </c>
      <c r="G38" s="9">
        <f>LOG10(D38*100*E38/F38*1000)</f>
        <v>8.1840601887269582</v>
      </c>
      <c r="H38" s="3">
        <v>21</v>
      </c>
      <c r="I38" s="3">
        <v>28</v>
      </c>
      <c r="J38" s="3">
        <v>1000</v>
      </c>
      <c r="K38" s="3">
        <f t="shared" ref="K38:K41" si="19">AVERAGE(H38:I38)</f>
        <v>24.5</v>
      </c>
      <c r="L38">
        <f t="shared" ref="L38:L41" si="20">(J38*K38)/(D38*E38)</f>
        <v>0.74242424242424243</v>
      </c>
      <c r="M38" s="55">
        <f>L38/dose!$O$17</f>
        <v>1.6198347107438018</v>
      </c>
    </row>
    <row r="39" spans="1:13" x14ac:dyDescent="0.2">
      <c r="A39" s="4" t="s">
        <v>8</v>
      </c>
      <c r="B39">
        <v>1</v>
      </c>
      <c r="C39">
        <v>5</v>
      </c>
      <c r="D39">
        <f t="shared" si="18"/>
        <v>3</v>
      </c>
      <c r="E39" s="4">
        <v>10000</v>
      </c>
      <c r="F39" s="4">
        <f>1770.3-1740.1</f>
        <v>30.200000000000045</v>
      </c>
      <c r="G39" s="9">
        <f t="shared" ref="G39:G41" si="21">LOG10(D39*100*E39/F39*1000)</f>
        <v>7.9971143117625116</v>
      </c>
      <c r="H39" s="3">
        <v>4</v>
      </c>
      <c r="I39" s="3">
        <v>4</v>
      </c>
      <c r="J39" s="3">
        <v>10000</v>
      </c>
      <c r="K39" s="3">
        <f t="shared" si="19"/>
        <v>4</v>
      </c>
      <c r="L39">
        <f t="shared" si="20"/>
        <v>1.3333333333333333</v>
      </c>
      <c r="M39" s="55">
        <f>L39/dose!$O$17</f>
        <v>2.9090909090909092</v>
      </c>
    </row>
    <row r="40" spans="1:13" x14ac:dyDescent="0.2">
      <c r="A40" s="4" t="s">
        <v>13</v>
      </c>
      <c r="B40">
        <v>2</v>
      </c>
      <c r="C40">
        <v>4</v>
      </c>
      <c r="D40">
        <f t="shared" si="18"/>
        <v>3</v>
      </c>
      <c r="E40" s="4">
        <v>10</v>
      </c>
      <c r="F40" s="4">
        <f>1881.9-1802.6</f>
        <v>79.300000000000182</v>
      </c>
      <c r="G40" s="9">
        <f t="shared" si="21"/>
        <v>4.5778480674020576</v>
      </c>
      <c r="H40" s="3">
        <v>20</v>
      </c>
      <c r="I40" s="3">
        <v>30</v>
      </c>
      <c r="J40" s="3">
        <v>100</v>
      </c>
      <c r="K40" s="3">
        <f t="shared" si="19"/>
        <v>25</v>
      </c>
      <c r="L40">
        <f t="shared" si="20"/>
        <v>83.333333333333329</v>
      </c>
      <c r="M40" s="55">
        <f>L40/dose!$O$17</f>
        <v>181.81818181818181</v>
      </c>
    </row>
    <row r="41" spans="1:13" ht="17" x14ac:dyDescent="0.2">
      <c r="A41" s="5" t="s">
        <v>12</v>
      </c>
      <c r="B41" s="7">
        <v>0</v>
      </c>
      <c r="C41" s="7">
        <v>0</v>
      </c>
      <c r="D41">
        <f t="shared" si="18"/>
        <v>0</v>
      </c>
      <c r="E41" s="5">
        <v>1</v>
      </c>
      <c r="F41" s="5">
        <f>1816.5-1715.4</f>
        <v>101.09999999999991</v>
      </c>
      <c r="G41" s="9" t="e">
        <f t="shared" si="21"/>
        <v>#NUM!</v>
      </c>
      <c r="H41" s="3">
        <v>2</v>
      </c>
      <c r="I41" s="3">
        <v>0</v>
      </c>
      <c r="J41" s="3">
        <v>1</v>
      </c>
      <c r="K41" s="3">
        <f t="shared" si="19"/>
        <v>1</v>
      </c>
      <c r="L41" t="e">
        <f t="shared" si="20"/>
        <v>#DIV/0!</v>
      </c>
      <c r="M41" s="55" t="e">
        <f>L41/dose!$O$17</f>
        <v>#DIV/0!</v>
      </c>
    </row>
    <row r="42" spans="1:13" x14ac:dyDescent="0.2">
      <c r="A42" s="4"/>
      <c r="E42" s="4"/>
      <c r="F42" s="4"/>
      <c r="G42" s="9"/>
    </row>
    <row r="43" spans="1:13" ht="51" customHeight="1" x14ac:dyDescent="0.2">
      <c r="A43" s="2" t="s">
        <v>39</v>
      </c>
      <c r="B43" s="91" t="s">
        <v>26</v>
      </c>
      <c r="C43" s="91"/>
      <c r="D43" s="5" t="s">
        <v>0</v>
      </c>
      <c r="E43" s="5" t="s">
        <v>3</v>
      </c>
      <c r="F43" s="5" t="s">
        <v>1</v>
      </c>
      <c r="G43" s="8" t="s">
        <v>2</v>
      </c>
      <c r="H43" s="92" t="s">
        <v>32</v>
      </c>
      <c r="I43" s="92"/>
      <c r="J43" s="38" t="s">
        <v>19</v>
      </c>
      <c r="K43" s="5" t="s">
        <v>29</v>
      </c>
      <c r="L43" s="5" t="s">
        <v>30</v>
      </c>
      <c r="M43" s="54" t="s">
        <v>17</v>
      </c>
    </row>
    <row r="44" spans="1:13" x14ac:dyDescent="0.2">
      <c r="A44" s="4" t="s">
        <v>10</v>
      </c>
      <c r="B44">
        <v>0</v>
      </c>
      <c r="C44">
        <v>0</v>
      </c>
      <c r="D44">
        <f>AVERAGE(B44:C44)</f>
        <v>0</v>
      </c>
      <c r="E44" s="4">
        <v>1</v>
      </c>
      <c r="F44" s="4">
        <f>1851.5-1811.9</f>
        <v>39.599999999999909</v>
      </c>
      <c r="G44" s="9" t="e">
        <f>LOG10(D44*100*E44/F44*1000)</f>
        <v>#NUM!</v>
      </c>
      <c r="H44" s="3">
        <v>25</v>
      </c>
      <c r="I44" s="3">
        <v>28</v>
      </c>
      <c r="J44" s="3">
        <v>1</v>
      </c>
      <c r="K44" s="3">
        <f>AVERAGE(H44:I44)</f>
        <v>26.5</v>
      </c>
      <c r="L44" t="e">
        <f>(J44*K44)/(D44*E44)</f>
        <v>#DIV/0!</v>
      </c>
      <c r="M44" s="55" t="e">
        <f>L44/dose!$O$17</f>
        <v>#DIV/0!</v>
      </c>
    </row>
    <row r="45" spans="1:13" x14ac:dyDescent="0.2">
      <c r="A45" s="4" t="s">
        <v>11</v>
      </c>
      <c r="B45">
        <v>2</v>
      </c>
      <c r="C45">
        <v>6</v>
      </c>
      <c r="D45">
        <f t="shared" ref="D45:D48" si="22">AVERAGE(B45:C45)</f>
        <v>4</v>
      </c>
      <c r="E45" s="4">
        <v>100</v>
      </c>
      <c r="F45" s="4">
        <f>1740.4-1707.3</f>
        <v>33.100000000000136</v>
      </c>
      <c r="G45" s="9">
        <f>LOG10(D45*100*E45/F45*1000)</f>
        <v>6.0822319975522419</v>
      </c>
      <c r="H45" s="3">
        <v>13</v>
      </c>
      <c r="I45" s="3">
        <v>16</v>
      </c>
      <c r="J45" s="3">
        <v>1000</v>
      </c>
      <c r="K45" s="3">
        <f t="shared" ref="K45:K48" si="23">AVERAGE(H45:I45)</f>
        <v>14.5</v>
      </c>
      <c r="L45">
        <f t="shared" ref="L45:L48" si="24">(J45*K45)/(D45*E45)</f>
        <v>36.25</v>
      </c>
      <c r="M45" s="55">
        <f>L45/dose!$O$17</f>
        <v>79.090909090909093</v>
      </c>
    </row>
    <row r="46" spans="1:13" x14ac:dyDescent="0.2">
      <c r="A46" s="4" t="s">
        <v>8</v>
      </c>
      <c r="B46">
        <v>28</v>
      </c>
      <c r="C46">
        <v>34</v>
      </c>
      <c r="D46">
        <f t="shared" si="22"/>
        <v>31</v>
      </c>
      <c r="E46" s="4">
        <v>100</v>
      </c>
      <c r="F46" s="4">
        <f>1872.7-1716.9</f>
        <v>155.79999999999995</v>
      </c>
      <c r="G46" s="9">
        <f t="shared" ref="G46:G48" si="25">LOG10(D46*100*E46/F46*1000)</f>
        <v>6.2987942404977275</v>
      </c>
      <c r="H46" s="3">
        <v>19</v>
      </c>
      <c r="I46" s="3">
        <v>21</v>
      </c>
      <c r="J46" s="3">
        <v>100</v>
      </c>
      <c r="K46" s="3">
        <f t="shared" si="23"/>
        <v>20</v>
      </c>
      <c r="L46">
        <f t="shared" si="24"/>
        <v>0.64516129032258063</v>
      </c>
      <c r="M46" s="55">
        <f>L46/dose!$O$17</f>
        <v>1.4076246334310851</v>
      </c>
    </row>
    <row r="47" spans="1:13" x14ac:dyDescent="0.2">
      <c r="A47" s="4" t="s">
        <v>13</v>
      </c>
      <c r="B47">
        <v>15</v>
      </c>
      <c r="C47">
        <v>13</v>
      </c>
      <c r="D47">
        <f t="shared" si="22"/>
        <v>14</v>
      </c>
      <c r="E47" s="4">
        <v>1000</v>
      </c>
      <c r="F47" s="4">
        <f>1826.7-1731</f>
        <v>95.700000000000045</v>
      </c>
      <c r="G47" s="9">
        <f t="shared" si="25"/>
        <v>7.1652160979013946</v>
      </c>
      <c r="H47" s="3">
        <v>15</v>
      </c>
      <c r="I47" s="3">
        <v>12</v>
      </c>
      <c r="J47" s="3">
        <v>100</v>
      </c>
      <c r="K47" s="3">
        <f t="shared" si="23"/>
        <v>13.5</v>
      </c>
      <c r="L47">
        <f t="shared" si="24"/>
        <v>9.6428571428571433E-2</v>
      </c>
      <c r="M47" s="55">
        <f>L47/dose!$O$17</f>
        <v>0.2103896103896104</v>
      </c>
    </row>
    <row r="48" spans="1:13" ht="17" x14ac:dyDescent="0.2">
      <c r="A48" s="5" t="s">
        <v>12</v>
      </c>
      <c r="B48" s="7">
        <v>0</v>
      </c>
      <c r="C48" s="7">
        <v>0</v>
      </c>
      <c r="D48">
        <f t="shared" si="22"/>
        <v>0</v>
      </c>
      <c r="E48" s="5">
        <v>1</v>
      </c>
      <c r="F48" s="5">
        <f>1809.4-1737.6</f>
        <v>71.800000000000182</v>
      </c>
      <c r="G48" s="9" t="e">
        <f t="shared" si="25"/>
        <v>#NUM!</v>
      </c>
      <c r="H48" s="3">
        <v>3</v>
      </c>
      <c r="I48" s="3">
        <v>3</v>
      </c>
      <c r="J48" s="3">
        <v>1</v>
      </c>
      <c r="K48" s="3">
        <f t="shared" si="23"/>
        <v>3</v>
      </c>
      <c r="L48" t="e">
        <f t="shared" si="24"/>
        <v>#DIV/0!</v>
      </c>
      <c r="M48" s="55" t="e">
        <f>L48/dose!$O$17</f>
        <v>#DIV/0!</v>
      </c>
    </row>
    <row r="49" spans="1:10" x14ac:dyDescent="0.2">
      <c r="A49" s="4"/>
      <c r="E49" s="4"/>
      <c r="F49" s="4"/>
      <c r="G49" s="9"/>
    </row>
    <row r="50" spans="1:10" x14ac:dyDescent="0.2">
      <c r="A50" s="2"/>
      <c r="B50" s="7"/>
      <c r="C50" s="7"/>
      <c r="D50" s="5"/>
      <c r="E50" s="5"/>
      <c r="F50" s="5"/>
      <c r="G50" s="8"/>
      <c r="H50" s="38"/>
      <c r="I50" s="38"/>
      <c r="J50" s="38"/>
    </row>
    <row r="51" spans="1:10" x14ac:dyDescent="0.2">
      <c r="A51" s="4"/>
      <c r="E51" s="4"/>
      <c r="F51" s="4"/>
      <c r="G51" s="9"/>
    </row>
    <row r="52" spans="1:10" x14ac:dyDescent="0.2">
      <c r="A52" s="4"/>
      <c r="E52" s="4"/>
      <c r="F52" s="4"/>
      <c r="G52" s="9"/>
    </row>
    <row r="53" spans="1:10" x14ac:dyDescent="0.2">
      <c r="A53" s="4"/>
      <c r="E53" s="4"/>
      <c r="F53" s="4"/>
      <c r="G53" s="9"/>
    </row>
    <row r="54" spans="1:10" x14ac:dyDescent="0.2">
      <c r="A54" s="4"/>
      <c r="E54" s="4"/>
      <c r="F54" s="4"/>
      <c r="G54" s="9"/>
    </row>
    <row r="55" spans="1:10" x14ac:dyDescent="0.2">
      <c r="A55" s="5"/>
      <c r="B55" s="7"/>
      <c r="C55" s="7"/>
      <c r="E55" s="5"/>
      <c r="F55" s="5"/>
      <c r="G55" s="9"/>
    </row>
    <row r="56" spans="1:10" x14ac:dyDescent="0.2">
      <c r="A56" s="4"/>
      <c r="B56" s="13"/>
      <c r="E56" s="4"/>
      <c r="F56" s="4"/>
      <c r="G56" s="9"/>
    </row>
    <row r="57" spans="1:10" x14ac:dyDescent="0.2">
      <c r="A57" s="5"/>
      <c r="B57" s="7"/>
      <c r="C57" s="7"/>
      <c r="D57" s="5"/>
      <c r="E57" s="5"/>
      <c r="F57" s="5"/>
      <c r="G57" s="9"/>
    </row>
    <row r="58" spans="1:10" x14ac:dyDescent="0.2">
      <c r="A58" s="2"/>
      <c r="B58" s="7"/>
      <c r="C58" s="7"/>
      <c r="D58" s="5"/>
      <c r="E58" s="5"/>
      <c r="F58" s="5"/>
      <c r="G58" s="8"/>
      <c r="H58" s="38"/>
      <c r="I58" s="38"/>
      <c r="J58" s="38"/>
    </row>
    <row r="59" spans="1:10" x14ac:dyDescent="0.2">
      <c r="A59" s="4"/>
      <c r="E59" s="4"/>
      <c r="F59" s="4"/>
      <c r="G59" s="9"/>
    </row>
    <row r="60" spans="1:10" x14ac:dyDescent="0.2">
      <c r="A60" s="4"/>
      <c r="E60" s="4"/>
      <c r="F60" s="4"/>
      <c r="G60" s="9"/>
    </row>
    <row r="61" spans="1:10" x14ac:dyDescent="0.2">
      <c r="A61" s="4"/>
      <c r="E61" s="4"/>
      <c r="F61" s="4"/>
      <c r="G61" s="9"/>
    </row>
    <row r="62" spans="1:10" x14ac:dyDescent="0.2">
      <c r="A62" s="4"/>
      <c r="E62" s="4"/>
      <c r="F62" s="4"/>
      <c r="G62" s="9"/>
    </row>
    <row r="63" spans="1:10" x14ac:dyDescent="0.2">
      <c r="A63" s="5"/>
      <c r="B63" s="7"/>
      <c r="C63" s="7"/>
      <c r="E63" s="5"/>
      <c r="F63" s="5"/>
      <c r="G63" s="9"/>
    </row>
    <row r="64" spans="1:10" x14ac:dyDescent="0.2">
      <c r="A64" s="4"/>
      <c r="E64" s="4"/>
      <c r="F64" s="4"/>
      <c r="G64" s="9"/>
    </row>
    <row r="65" spans="1:10" x14ac:dyDescent="0.2">
      <c r="A65" s="4"/>
      <c r="E65" s="4"/>
      <c r="F65" s="4"/>
      <c r="G65" s="9"/>
    </row>
    <row r="66" spans="1:10" x14ac:dyDescent="0.2">
      <c r="A66" s="4"/>
      <c r="E66" s="4"/>
      <c r="F66" s="4"/>
      <c r="G66" s="9"/>
    </row>
    <row r="67" spans="1:10" x14ac:dyDescent="0.2">
      <c r="A67" s="4"/>
      <c r="E67" s="4"/>
      <c r="F67" s="4"/>
      <c r="G67" s="9"/>
    </row>
    <row r="68" spans="1:10" x14ac:dyDescent="0.2">
      <c r="A68" s="5"/>
      <c r="C68" s="7"/>
      <c r="E68" s="5"/>
      <c r="F68" s="5"/>
      <c r="G68" s="9"/>
    </row>
    <row r="69" spans="1:10" x14ac:dyDescent="0.2">
      <c r="A69" s="12"/>
      <c r="B69" s="13"/>
      <c r="C69" s="13"/>
      <c r="E69" s="12"/>
      <c r="F69" s="12"/>
      <c r="G69" s="9"/>
    </row>
    <row r="70" spans="1:10" x14ac:dyDescent="0.2">
      <c r="A70" s="12"/>
      <c r="B70" s="13"/>
      <c r="C70" s="13"/>
      <c r="E70" s="12"/>
      <c r="F70" s="12"/>
      <c r="G70" s="9"/>
    </row>
    <row r="71" spans="1:10" x14ac:dyDescent="0.2">
      <c r="A71" s="12"/>
      <c r="B71" s="13"/>
      <c r="C71" s="13"/>
      <c r="E71" s="12"/>
      <c r="F71" s="12"/>
      <c r="G71" s="9"/>
    </row>
    <row r="72" spans="1:10" x14ac:dyDescent="0.2">
      <c r="A72" s="4"/>
      <c r="B72" s="13"/>
      <c r="E72" s="4"/>
      <c r="F72" s="4"/>
      <c r="G72" s="9"/>
    </row>
    <row r="73" spans="1:10" x14ac:dyDescent="0.2">
      <c r="A73" s="4"/>
      <c r="B73" s="13"/>
      <c r="E73" s="4"/>
      <c r="F73" s="4"/>
      <c r="G73" s="9"/>
    </row>
    <row r="74" spans="1:10" x14ac:dyDescent="0.2">
      <c r="A74" s="11"/>
      <c r="B74" s="7"/>
      <c r="C74" s="7"/>
      <c r="D74" s="5"/>
      <c r="E74" s="5"/>
      <c r="F74" s="5"/>
      <c r="G74" s="8"/>
      <c r="H74" s="38"/>
      <c r="I74" s="38"/>
      <c r="J74" s="38"/>
    </row>
    <row r="75" spans="1:10" x14ac:dyDescent="0.2">
      <c r="A75" s="4"/>
      <c r="E75" s="4"/>
      <c r="F75" s="4"/>
      <c r="G75" s="9"/>
    </row>
    <row r="76" spans="1:10" x14ac:dyDescent="0.2">
      <c r="A76" s="4"/>
      <c r="E76" s="4"/>
      <c r="F76" s="4"/>
      <c r="G76" s="9"/>
    </row>
    <row r="77" spans="1:10" x14ac:dyDescent="0.2">
      <c r="A77" s="4"/>
      <c r="E77" s="4"/>
      <c r="F77" s="4"/>
      <c r="G77" s="9"/>
    </row>
    <row r="78" spans="1:10" x14ac:dyDescent="0.2">
      <c r="A78" s="4"/>
      <c r="E78" s="4"/>
      <c r="F78" s="4"/>
      <c r="G78" s="9"/>
    </row>
    <row r="79" spans="1:10" x14ac:dyDescent="0.2">
      <c r="A79" s="5"/>
      <c r="B79" s="7"/>
      <c r="C79" s="7"/>
      <c r="E79" s="5"/>
      <c r="F79" s="5"/>
      <c r="G79" s="9"/>
    </row>
    <row r="80" spans="1:10" x14ac:dyDescent="0.2">
      <c r="A80" s="4"/>
      <c r="E80" s="4"/>
      <c r="F80" s="4"/>
      <c r="G80" s="9"/>
    </row>
    <row r="81" spans="1:10" x14ac:dyDescent="0.2">
      <c r="A81" s="4"/>
      <c r="E81" s="4"/>
      <c r="F81" s="4"/>
      <c r="G81" s="9"/>
    </row>
    <row r="82" spans="1:10" x14ac:dyDescent="0.2">
      <c r="A82" s="4"/>
      <c r="E82" s="4"/>
      <c r="F82" s="4"/>
      <c r="G82" s="9"/>
    </row>
    <row r="83" spans="1:10" x14ac:dyDescent="0.2">
      <c r="A83" s="4"/>
      <c r="E83" s="4"/>
      <c r="F83" s="4"/>
      <c r="G83" s="9"/>
    </row>
    <row r="84" spans="1:10" x14ac:dyDescent="0.2">
      <c r="A84" s="4"/>
      <c r="E84" s="4"/>
      <c r="F84" s="4"/>
      <c r="G84" s="9"/>
    </row>
    <row r="85" spans="1:10" x14ac:dyDescent="0.2">
      <c r="A85" s="12"/>
      <c r="B85" s="13"/>
      <c r="C85" s="13"/>
      <c r="E85" s="12"/>
      <c r="F85" s="12"/>
      <c r="G85" s="9"/>
    </row>
    <row r="86" spans="1:10" x14ac:dyDescent="0.2">
      <c r="A86" s="12"/>
      <c r="B86" s="13"/>
      <c r="C86" s="13"/>
      <c r="E86" s="12"/>
      <c r="F86" s="12"/>
      <c r="G86" s="9"/>
    </row>
    <row r="87" spans="1:10" x14ac:dyDescent="0.2">
      <c r="A87" s="12"/>
      <c r="B87" s="13"/>
      <c r="C87" s="13"/>
      <c r="E87" s="12"/>
      <c r="F87" s="12"/>
      <c r="G87" s="9"/>
    </row>
    <row r="88" spans="1:10" x14ac:dyDescent="0.2">
      <c r="A88" s="4"/>
      <c r="B88" s="13"/>
      <c r="C88" s="13"/>
      <c r="E88" s="4"/>
      <c r="F88" s="4"/>
      <c r="G88" s="9"/>
    </row>
    <row r="89" spans="1:10" x14ac:dyDescent="0.2">
      <c r="A89" s="4"/>
      <c r="B89" s="13"/>
      <c r="E89" s="4"/>
      <c r="F89" s="4"/>
      <c r="G89" s="9"/>
    </row>
    <row r="90" spans="1:10" x14ac:dyDescent="0.2">
      <c r="A90" s="11"/>
      <c r="B90" s="7"/>
      <c r="C90" s="7"/>
      <c r="D90" s="5"/>
      <c r="E90" s="5"/>
      <c r="F90" s="5"/>
      <c r="G90" s="8"/>
      <c r="H90" s="38"/>
      <c r="I90" s="38"/>
      <c r="J90" s="38"/>
    </row>
    <row r="91" spans="1:10" x14ac:dyDescent="0.2">
      <c r="A91" s="4"/>
      <c r="E91" s="4"/>
      <c r="F91" s="4"/>
      <c r="G91" s="9"/>
    </row>
    <row r="92" spans="1:10" x14ac:dyDescent="0.2">
      <c r="A92" s="4"/>
      <c r="E92" s="4"/>
      <c r="F92" s="4"/>
      <c r="G92" s="9"/>
    </row>
    <row r="93" spans="1:10" x14ac:dyDescent="0.2">
      <c r="A93" s="4"/>
      <c r="E93" s="4"/>
      <c r="F93" s="4"/>
      <c r="G93" s="9"/>
    </row>
    <row r="94" spans="1:10" x14ac:dyDescent="0.2">
      <c r="A94" s="4"/>
      <c r="E94" s="4"/>
      <c r="F94" s="4"/>
      <c r="G94" s="9"/>
    </row>
    <row r="95" spans="1:10" x14ac:dyDescent="0.2">
      <c r="A95" s="5"/>
      <c r="B95" s="7"/>
      <c r="C95" s="7"/>
      <c r="E95" s="5"/>
      <c r="F95" s="5"/>
      <c r="G95" s="9"/>
    </row>
    <row r="96" spans="1:10" x14ac:dyDescent="0.2">
      <c r="A96" s="4"/>
      <c r="E96" s="4"/>
      <c r="F96" s="4"/>
      <c r="G96" s="9"/>
    </row>
    <row r="97" spans="1:10" x14ac:dyDescent="0.2">
      <c r="A97" s="4"/>
      <c r="E97" s="4"/>
      <c r="F97" s="4"/>
      <c r="G97" s="9"/>
    </row>
    <row r="98" spans="1:10" x14ac:dyDescent="0.2">
      <c r="A98" s="4"/>
      <c r="E98" s="4"/>
      <c r="F98" s="4"/>
      <c r="G98" s="9"/>
    </row>
    <row r="99" spans="1:10" x14ac:dyDescent="0.2">
      <c r="A99" s="4"/>
      <c r="E99" s="4"/>
      <c r="F99" s="4"/>
      <c r="G99" s="9"/>
    </row>
    <row r="100" spans="1:10" x14ac:dyDescent="0.2">
      <c r="A100" s="4"/>
      <c r="E100" s="4"/>
      <c r="F100" s="4"/>
      <c r="G100" s="9"/>
    </row>
    <row r="101" spans="1:10" x14ac:dyDescent="0.2">
      <c r="A101" s="12"/>
      <c r="B101" s="13"/>
      <c r="C101" s="13"/>
      <c r="E101" s="12"/>
      <c r="F101" s="12"/>
      <c r="G101" s="9"/>
    </row>
    <row r="102" spans="1:10" x14ac:dyDescent="0.2">
      <c r="A102" s="12"/>
      <c r="B102" s="13"/>
      <c r="C102" s="13"/>
      <c r="E102" s="12"/>
      <c r="F102" s="12"/>
      <c r="G102" s="9"/>
    </row>
    <row r="103" spans="1:10" x14ac:dyDescent="0.2">
      <c r="A103" s="12"/>
      <c r="B103" s="13"/>
      <c r="C103" s="13"/>
      <c r="E103" s="12"/>
      <c r="F103" s="12"/>
      <c r="G103" s="9"/>
    </row>
    <row r="104" spans="1:10" x14ac:dyDescent="0.2">
      <c r="A104" s="4"/>
      <c r="B104" s="13"/>
      <c r="E104" s="4"/>
      <c r="F104" s="4"/>
      <c r="G104" s="9"/>
    </row>
    <row r="105" spans="1:10" x14ac:dyDescent="0.2">
      <c r="A105" s="4"/>
      <c r="B105" s="13"/>
      <c r="E105" s="4"/>
      <c r="F105" s="4"/>
      <c r="G105" s="9"/>
    </row>
    <row r="106" spans="1:10" x14ac:dyDescent="0.2">
      <c r="A106" s="11"/>
      <c r="B106" s="7"/>
      <c r="C106" s="7"/>
      <c r="D106" s="5"/>
      <c r="E106" s="5"/>
      <c r="F106" s="5"/>
      <c r="G106" s="8"/>
      <c r="H106" s="38"/>
      <c r="I106" s="38"/>
      <c r="J106" s="38"/>
    </row>
    <row r="107" spans="1:10" x14ac:dyDescent="0.2">
      <c r="A107" s="4"/>
      <c r="E107" s="4"/>
      <c r="F107" s="4"/>
      <c r="G107" s="9"/>
    </row>
    <row r="108" spans="1:10" x14ac:dyDescent="0.2">
      <c r="A108" s="4"/>
      <c r="E108" s="4"/>
      <c r="F108" s="4"/>
      <c r="G108" s="9"/>
    </row>
    <row r="109" spans="1:10" x14ac:dyDescent="0.2">
      <c r="A109" s="4"/>
      <c r="E109" s="4"/>
      <c r="F109" s="4"/>
      <c r="G109" s="9"/>
    </row>
    <row r="110" spans="1:10" x14ac:dyDescent="0.2">
      <c r="A110" s="4"/>
      <c r="E110" s="4"/>
      <c r="F110" s="4"/>
      <c r="G110" s="9"/>
    </row>
    <row r="111" spans="1:10" x14ac:dyDescent="0.2">
      <c r="A111" s="5"/>
      <c r="B111" s="7"/>
      <c r="C111" s="7"/>
      <c r="E111" s="5"/>
      <c r="F111" s="5"/>
      <c r="G111" s="9"/>
    </row>
    <row r="112" spans="1:10" x14ac:dyDescent="0.2">
      <c r="A112" s="4"/>
      <c r="E112" s="4"/>
      <c r="F112" s="4"/>
      <c r="G112" s="9"/>
    </row>
    <row r="113" spans="1:10" x14ac:dyDescent="0.2">
      <c r="A113" s="4"/>
      <c r="E113" s="4"/>
      <c r="F113" s="4"/>
      <c r="G113" s="9"/>
    </row>
    <row r="114" spans="1:10" x14ac:dyDescent="0.2">
      <c r="A114" s="4"/>
      <c r="E114" s="4"/>
      <c r="F114" s="4"/>
      <c r="G114" s="9"/>
    </row>
    <row r="115" spans="1:10" x14ac:dyDescent="0.2">
      <c r="A115" s="4"/>
      <c r="E115" s="4"/>
      <c r="F115" s="10"/>
      <c r="G115" s="9"/>
    </row>
    <row r="116" spans="1:10" x14ac:dyDescent="0.2">
      <c r="A116" s="4"/>
      <c r="E116" s="4"/>
      <c r="F116" s="10"/>
      <c r="G116" s="9"/>
    </row>
    <row r="117" spans="1:10" x14ac:dyDescent="0.2">
      <c r="A117" s="12"/>
      <c r="B117" s="13"/>
      <c r="C117" s="13"/>
      <c r="E117" s="12"/>
      <c r="F117" s="12"/>
      <c r="G117" s="9"/>
    </row>
    <row r="118" spans="1:10" x14ac:dyDescent="0.2">
      <c r="A118" s="12"/>
      <c r="B118" s="13"/>
      <c r="C118" s="13"/>
      <c r="E118" s="12"/>
      <c r="F118" s="12"/>
      <c r="G118" s="9"/>
    </row>
    <row r="119" spans="1:10" x14ac:dyDescent="0.2">
      <c r="A119" s="12"/>
      <c r="B119" s="13"/>
      <c r="C119" s="13"/>
      <c r="E119" s="12"/>
      <c r="F119" s="12"/>
      <c r="G119" s="9"/>
    </row>
    <row r="120" spans="1:10" x14ac:dyDescent="0.2">
      <c r="A120" s="4"/>
      <c r="B120" s="13"/>
      <c r="E120" s="4"/>
      <c r="F120" s="10"/>
      <c r="G120" s="9"/>
    </row>
    <row r="121" spans="1:10" x14ac:dyDescent="0.2">
      <c r="A121" s="4"/>
      <c r="B121" s="13"/>
      <c r="E121" s="4"/>
      <c r="F121" s="10"/>
      <c r="G121" s="9"/>
    </row>
    <row r="122" spans="1:10" x14ac:dyDescent="0.2">
      <c r="A122" s="2"/>
      <c r="B122" s="7"/>
      <c r="C122" s="7"/>
      <c r="D122" s="5"/>
      <c r="E122" s="5"/>
      <c r="F122" s="5"/>
      <c r="G122" s="8"/>
      <c r="H122" s="38"/>
      <c r="I122" s="38"/>
      <c r="J122" s="38"/>
    </row>
    <row r="123" spans="1:10" x14ac:dyDescent="0.2">
      <c r="A123" s="4"/>
      <c r="E123" s="4"/>
      <c r="F123" s="4"/>
      <c r="G123" s="9"/>
    </row>
    <row r="124" spans="1:10" x14ac:dyDescent="0.2">
      <c r="A124" s="4"/>
      <c r="E124" s="4"/>
      <c r="F124" s="4"/>
      <c r="G124" s="9"/>
    </row>
    <row r="125" spans="1:10" x14ac:dyDescent="0.2">
      <c r="A125" s="4"/>
      <c r="E125" s="4"/>
      <c r="F125" s="4"/>
      <c r="G125" s="9"/>
    </row>
    <row r="126" spans="1:10" x14ac:dyDescent="0.2">
      <c r="A126" s="4"/>
      <c r="E126" s="4"/>
      <c r="F126" s="4"/>
      <c r="G126" s="9"/>
    </row>
    <row r="127" spans="1:10" x14ac:dyDescent="0.2">
      <c r="A127" s="5"/>
      <c r="B127" s="7"/>
      <c r="C127" s="7"/>
      <c r="E127" s="5"/>
      <c r="F127" s="5"/>
      <c r="G127" s="9"/>
    </row>
    <row r="128" spans="1:10" x14ac:dyDescent="0.2">
      <c r="A128" s="4"/>
      <c r="E128" s="4"/>
      <c r="F128" s="4"/>
      <c r="G128" s="9"/>
    </row>
    <row r="129" spans="1:10" x14ac:dyDescent="0.2">
      <c r="A129" s="4"/>
      <c r="B129" s="14"/>
      <c r="C129" s="14"/>
      <c r="E129" s="4"/>
      <c r="F129" s="4"/>
      <c r="G129" s="9"/>
    </row>
    <row r="130" spans="1:10" x14ac:dyDescent="0.2">
      <c r="A130" s="4"/>
      <c r="B130" s="14"/>
      <c r="C130" s="14"/>
      <c r="E130" s="4"/>
      <c r="F130" s="4"/>
      <c r="G130" s="9"/>
    </row>
    <row r="131" spans="1:10" x14ac:dyDescent="0.2">
      <c r="A131" s="4"/>
      <c r="B131" s="14"/>
      <c r="C131" s="14"/>
      <c r="E131" s="4"/>
      <c r="G131" s="9"/>
    </row>
    <row r="132" spans="1:10" x14ac:dyDescent="0.2">
      <c r="A132" s="5"/>
      <c r="B132" s="15"/>
      <c r="C132" s="15"/>
      <c r="E132" s="5"/>
      <c r="F132" s="5"/>
      <c r="G132" s="9"/>
    </row>
    <row r="133" spans="1:10" x14ac:dyDescent="0.2">
      <c r="A133" s="12"/>
      <c r="B133" s="16"/>
      <c r="C133" s="16"/>
      <c r="E133" s="12"/>
      <c r="F133" s="12"/>
      <c r="G133" s="9"/>
    </row>
    <row r="134" spans="1:10" x14ac:dyDescent="0.2">
      <c r="A134" s="12"/>
      <c r="B134" s="13"/>
      <c r="C134" s="16"/>
      <c r="E134" s="12"/>
      <c r="F134" s="12"/>
      <c r="G134" s="9"/>
    </row>
    <row r="135" spans="1:10" x14ac:dyDescent="0.2">
      <c r="A135" s="12"/>
      <c r="B135" s="13"/>
      <c r="C135" s="13"/>
      <c r="E135" s="12"/>
      <c r="F135" s="12"/>
      <c r="G135" s="9"/>
    </row>
    <row r="136" spans="1:10" x14ac:dyDescent="0.2">
      <c r="A136" s="5"/>
      <c r="B136" s="7"/>
      <c r="C136" s="5"/>
      <c r="E136" s="5"/>
      <c r="F136" s="5"/>
      <c r="G136" s="9"/>
    </row>
    <row r="137" spans="1:10" x14ac:dyDescent="0.2">
      <c r="A137" s="5"/>
      <c r="B137" s="7"/>
      <c r="C137" s="5"/>
      <c r="E137" s="5"/>
      <c r="F137" s="5"/>
      <c r="G137" s="9"/>
    </row>
    <row r="138" spans="1:10" x14ac:dyDescent="0.2">
      <c r="A138" s="11"/>
      <c r="B138" s="7"/>
      <c r="C138" s="7"/>
      <c r="D138" s="5"/>
      <c r="E138" s="5"/>
      <c r="F138" s="5"/>
      <c r="G138" s="8"/>
      <c r="H138" s="38"/>
      <c r="I138" s="38"/>
      <c r="J138" s="38"/>
    </row>
    <row r="139" spans="1:10" x14ac:dyDescent="0.2">
      <c r="A139" s="4"/>
      <c r="E139" s="4"/>
      <c r="F139" s="4"/>
      <c r="G139" s="9"/>
    </row>
    <row r="140" spans="1:10" x14ac:dyDescent="0.2">
      <c r="A140" s="4"/>
      <c r="E140" s="4"/>
      <c r="F140" s="4"/>
      <c r="G140" s="9"/>
    </row>
    <row r="141" spans="1:10" x14ac:dyDescent="0.2">
      <c r="A141" s="4"/>
      <c r="E141" s="4"/>
      <c r="F141" s="4"/>
      <c r="G141" s="9"/>
    </row>
    <row r="142" spans="1:10" x14ac:dyDescent="0.2">
      <c r="A142" s="4"/>
      <c r="E142" s="4"/>
      <c r="F142" s="4"/>
      <c r="G142" s="9"/>
    </row>
    <row r="143" spans="1:10" x14ac:dyDescent="0.2">
      <c r="A143" s="5"/>
      <c r="B143" s="7"/>
      <c r="C143" s="7"/>
      <c r="E143" s="5"/>
      <c r="F143" s="5"/>
      <c r="G143" s="9"/>
    </row>
    <row r="144" spans="1:10" x14ac:dyDescent="0.2">
      <c r="A144" s="4"/>
      <c r="E144" s="4"/>
      <c r="F144" s="4"/>
      <c r="G144" s="9"/>
    </row>
    <row r="145" spans="1:10" x14ac:dyDescent="0.2">
      <c r="A145" s="4"/>
      <c r="E145" s="4"/>
      <c r="F145" s="4"/>
      <c r="G145" s="9"/>
    </row>
    <row r="146" spans="1:10" x14ac:dyDescent="0.2">
      <c r="A146" s="4"/>
      <c r="E146" s="4"/>
      <c r="F146" s="4"/>
      <c r="G146" s="9"/>
    </row>
    <row r="147" spans="1:10" x14ac:dyDescent="0.2">
      <c r="A147" s="4"/>
      <c r="E147" s="4"/>
      <c r="F147" s="4"/>
      <c r="G147" s="9"/>
    </row>
    <row r="148" spans="1:10" x14ac:dyDescent="0.2">
      <c r="A148" s="4"/>
      <c r="E148" s="4"/>
      <c r="F148" s="4"/>
      <c r="G148" s="9"/>
    </row>
    <row r="149" spans="1:10" x14ac:dyDescent="0.2">
      <c r="A149" s="12"/>
      <c r="B149" s="13"/>
      <c r="C149" s="13"/>
      <c r="E149" s="12"/>
      <c r="F149" s="12"/>
      <c r="G149" s="9"/>
    </row>
    <row r="150" spans="1:10" x14ac:dyDescent="0.2">
      <c r="A150" s="12"/>
      <c r="B150" s="13"/>
      <c r="C150" s="13"/>
      <c r="E150" s="12"/>
      <c r="F150" s="12"/>
      <c r="G150" s="9"/>
    </row>
    <row r="151" spans="1:10" x14ac:dyDescent="0.2">
      <c r="A151" s="12"/>
      <c r="B151" s="13"/>
      <c r="C151" s="13"/>
      <c r="E151" s="12"/>
      <c r="F151" s="12"/>
      <c r="G151" s="9"/>
    </row>
    <row r="152" spans="1:10" x14ac:dyDescent="0.2">
      <c r="A152" s="5"/>
      <c r="B152" s="7"/>
      <c r="C152" s="7"/>
      <c r="E152" s="4"/>
      <c r="F152" s="4"/>
      <c r="G152" s="9"/>
    </row>
    <row r="153" spans="1:10" x14ac:dyDescent="0.2">
      <c r="A153" s="4"/>
      <c r="B153" s="13"/>
      <c r="E153" s="4"/>
      <c r="F153" s="4"/>
      <c r="G153" s="9"/>
    </row>
    <row r="154" spans="1:10" x14ac:dyDescent="0.2">
      <c r="A154" s="11"/>
      <c r="B154" s="7"/>
      <c r="C154" s="7"/>
      <c r="D154" s="5"/>
      <c r="E154" s="5"/>
      <c r="F154" s="5"/>
      <c r="G154" s="8"/>
      <c r="H154" s="38"/>
      <c r="I154" s="38"/>
      <c r="J154" s="38"/>
    </row>
    <row r="155" spans="1:10" x14ac:dyDescent="0.2">
      <c r="A155" s="4"/>
      <c r="E155" s="4"/>
      <c r="F155" s="4"/>
      <c r="G155" s="9"/>
    </row>
    <row r="156" spans="1:10" x14ac:dyDescent="0.2">
      <c r="A156" s="4"/>
      <c r="E156" s="4"/>
      <c r="F156" s="4"/>
      <c r="G156" s="9"/>
    </row>
    <row r="157" spans="1:10" x14ac:dyDescent="0.2">
      <c r="A157" s="4"/>
      <c r="E157" s="4"/>
      <c r="F157" s="4"/>
      <c r="G157" s="9"/>
    </row>
    <row r="158" spans="1:10" x14ac:dyDescent="0.2">
      <c r="A158" s="4"/>
      <c r="E158" s="4"/>
      <c r="F158" s="4"/>
      <c r="G158" s="9"/>
    </row>
    <row r="159" spans="1:10" x14ac:dyDescent="0.2">
      <c r="A159" s="5"/>
      <c r="B159" s="7"/>
      <c r="C159" s="7"/>
      <c r="E159" s="5"/>
      <c r="F159" s="5"/>
      <c r="G159" s="9"/>
    </row>
    <row r="160" spans="1:10" x14ac:dyDescent="0.2">
      <c r="A160" s="4"/>
      <c r="E160" s="4"/>
      <c r="F160" s="4"/>
      <c r="G160" s="9"/>
    </row>
    <row r="161" spans="1:10" x14ac:dyDescent="0.2">
      <c r="A161" s="4"/>
      <c r="E161" s="4"/>
      <c r="F161" s="4"/>
      <c r="G161" s="9"/>
    </row>
    <row r="162" spans="1:10" x14ac:dyDescent="0.2">
      <c r="A162" s="4"/>
      <c r="E162" s="4"/>
      <c r="F162" s="4"/>
      <c r="G162" s="9"/>
    </row>
    <row r="163" spans="1:10" x14ac:dyDescent="0.2">
      <c r="A163" s="4"/>
      <c r="E163" s="4"/>
      <c r="F163" s="4"/>
      <c r="G163" s="9"/>
    </row>
    <row r="164" spans="1:10" x14ac:dyDescent="0.2">
      <c r="A164" s="4"/>
      <c r="E164" s="4"/>
      <c r="F164" s="4"/>
      <c r="G164" s="9"/>
    </row>
    <row r="165" spans="1:10" x14ac:dyDescent="0.2">
      <c r="A165" s="12"/>
      <c r="B165" s="13"/>
      <c r="C165" s="13"/>
      <c r="E165" s="12"/>
      <c r="F165" s="12"/>
      <c r="G165" s="9"/>
    </row>
    <row r="166" spans="1:10" x14ac:dyDescent="0.2">
      <c r="A166" s="12"/>
      <c r="B166" s="13"/>
      <c r="C166" s="13"/>
      <c r="E166" s="12"/>
      <c r="F166" s="12"/>
      <c r="G166" s="9"/>
    </row>
    <row r="167" spans="1:10" x14ac:dyDescent="0.2">
      <c r="A167" s="12"/>
      <c r="B167" s="13"/>
      <c r="C167" s="13"/>
      <c r="E167" s="12"/>
      <c r="F167" s="12"/>
      <c r="G167" s="9"/>
    </row>
    <row r="168" spans="1:10" x14ac:dyDescent="0.2">
      <c r="A168" s="4"/>
      <c r="B168" s="13"/>
      <c r="E168" s="4"/>
      <c r="F168" s="4"/>
      <c r="G168" s="9"/>
    </row>
    <row r="169" spans="1:10" x14ac:dyDescent="0.2">
      <c r="A169" s="4"/>
      <c r="B169" s="13"/>
      <c r="E169" s="4"/>
      <c r="F169" s="4"/>
      <c r="G169" s="9"/>
    </row>
    <row r="170" spans="1:10" x14ac:dyDescent="0.2">
      <c r="A170" s="11"/>
      <c r="B170" s="91"/>
      <c r="C170" s="91"/>
      <c r="D170" s="5"/>
      <c r="E170" s="5"/>
      <c r="F170" s="5"/>
      <c r="G170" s="8"/>
      <c r="H170" s="38"/>
      <c r="I170" s="38"/>
      <c r="J170" s="38"/>
    </row>
    <row r="171" spans="1:10" x14ac:dyDescent="0.2">
      <c r="A171" s="4"/>
      <c r="E171" s="4"/>
      <c r="F171" s="4"/>
      <c r="G171" s="9"/>
    </row>
    <row r="172" spans="1:10" x14ac:dyDescent="0.2">
      <c r="A172" s="4"/>
      <c r="E172" s="4"/>
      <c r="F172" s="4"/>
      <c r="G172" s="9"/>
    </row>
    <row r="173" spans="1:10" x14ac:dyDescent="0.2">
      <c r="A173" s="4"/>
      <c r="E173" s="4"/>
      <c r="F173" s="4"/>
      <c r="G173" s="9"/>
    </row>
    <row r="174" spans="1:10" x14ac:dyDescent="0.2">
      <c r="A174" s="4"/>
      <c r="E174" s="4"/>
      <c r="F174" s="4"/>
      <c r="G174" s="9"/>
    </row>
    <row r="175" spans="1:10" x14ac:dyDescent="0.2">
      <c r="A175" s="5"/>
      <c r="B175" s="7"/>
      <c r="C175" s="7"/>
      <c r="E175" s="5"/>
      <c r="F175" s="5"/>
      <c r="G175" s="9"/>
    </row>
    <row r="176" spans="1:10" x14ac:dyDescent="0.2">
      <c r="A176" s="4"/>
      <c r="E176" s="4"/>
      <c r="F176" s="4"/>
      <c r="G176" s="9"/>
    </row>
    <row r="177" spans="1:10" x14ac:dyDescent="0.2">
      <c r="A177" s="4"/>
      <c r="E177" s="4"/>
      <c r="F177" s="4"/>
      <c r="G177" s="9"/>
    </row>
    <row r="178" spans="1:10" x14ac:dyDescent="0.2">
      <c r="A178" s="4"/>
      <c r="E178" s="4"/>
      <c r="F178" s="4"/>
      <c r="G178" s="9"/>
    </row>
    <row r="179" spans="1:10" x14ac:dyDescent="0.2">
      <c r="A179" s="4"/>
      <c r="E179" s="4"/>
      <c r="F179" s="4"/>
      <c r="G179" s="9"/>
    </row>
    <row r="180" spans="1:10" x14ac:dyDescent="0.2">
      <c r="A180" s="4"/>
      <c r="E180" s="4"/>
      <c r="F180" s="4"/>
      <c r="G180" s="9"/>
    </row>
    <row r="181" spans="1:10" x14ac:dyDescent="0.2">
      <c r="A181" s="12"/>
      <c r="B181" s="13"/>
      <c r="C181" s="13"/>
      <c r="E181" s="12"/>
      <c r="F181" s="12"/>
      <c r="G181" s="9"/>
    </row>
    <row r="182" spans="1:10" x14ac:dyDescent="0.2">
      <c r="A182" s="12"/>
      <c r="B182" s="13"/>
      <c r="C182" s="13"/>
      <c r="E182" s="12"/>
      <c r="F182" s="12"/>
      <c r="G182" s="9"/>
    </row>
    <row r="183" spans="1:10" x14ac:dyDescent="0.2">
      <c r="A183" s="12"/>
      <c r="B183" s="13"/>
      <c r="C183" s="13"/>
      <c r="E183" s="12"/>
      <c r="F183" s="12"/>
      <c r="G183" s="9"/>
    </row>
    <row r="184" spans="1:10" x14ac:dyDescent="0.2">
      <c r="A184" s="4"/>
      <c r="B184" s="13"/>
      <c r="E184" s="4"/>
      <c r="F184" s="4"/>
      <c r="G184" s="9"/>
    </row>
    <row r="185" spans="1:10" x14ac:dyDescent="0.2">
      <c r="A185" s="4"/>
      <c r="B185" s="13"/>
      <c r="E185" s="4"/>
      <c r="F185" s="4"/>
      <c r="G185" s="9"/>
    </row>
    <row r="186" spans="1:10" x14ac:dyDescent="0.2">
      <c r="A186" s="11"/>
      <c r="B186" s="91"/>
      <c r="C186" s="91"/>
      <c r="D186" s="5"/>
      <c r="E186" s="5"/>
      <c r="F186" s="5"/>
      <c r="G186" s="8"/>
      <c r="H186" s="38"/>
      <c r="I186" s="38"/>
      <c r="J186" s="38"/>
    </row>
    <row r="187" spans="1:10" x14ac:dyDescent="0.2">
      <c r="A187" s="4"/>
      <c r="E187" s="4"/>
      <c r="F187" s="4"/>
      <c r="G187" s="9"/>
    </row>
    <row r="188" spans="1:10" x14ac:dyDescent="0.2">
      <c r="A188" s="4"/>
      <c r="E188" s="4"/>
      <c r="F188" s="4"/>
      <c r="G188" s="9"/>
    </row>
    <row r="189" spans="1:10" x14ac:dyDescent="0.2">
      <c r="A189" s="4"/>
      <c r="E189" s="4"/>
      <c r="F189" s="4"/>
      <c r="G189" s="9"/>
    </row>
    <row r="190" spans="1:10" x14ac:dyDescent="0.2">
      <c r="A190" s="4"/>
      <c r="E190" s="4"/>
      <c r="F190" s="1"/>
      <c r="G190" s="9"/>
    </row>
    <row r="191" spans="1:10" x14ac:dyDescent="0.2">
      <c r="A191" s="5"/>
      <c r="B191" s="7"/>
      <c r="C191" s="7"/>
      <c r="E191" s="4"/>
      <c r="F191" s="5"/>
      <c r="G191" s="9"/>
    </row>
    <row r="192" spans="1:10" x14ac:dyDescent="0.2">
      <c r="A192" s="4"/>
      <c r="E192" s="4"/>
      <c r="F192" s="1"/>
      <c r="G192" s="9"/>
    </row>
    <row r="193" spans="1:7" x14ac:dyDescent="0.2">
      <c r="A193" s="4"/>
      <c r="E193" s="4"/>
      <c r="F193" s="1"/>
      <c r="G193" s="9"/>
    </row>
    <row r="194" spans="1:7" x14ac:dyDescent="0.2">
      <c r="A194" s="4"/>
      <c r="E194" s="4"/>
      <c r="F194" s="1"/>
      <c r="G194" s="9"/>
    </row>
    <row r="195" spans="1:7" x14ac:dyDescent="0.2">
      <c r="A195" s="4"/>
      <c r="E195" s="4"/>
      <c r="F195" s="1"/>
      <c r="G195" s="9"/>
    </row>
    <row r="196" spans="1:7" x14ac:dyDescent="0.2">
      <c r="A196" s="4"/>
      <c r="E196" s="4"/>
      <c r="F196" s="1"/>
      <c r="G196" s="9"/>
    </row>
    <row r="197" spans="1:7" x14ac:dyDescent="0.2">
      <c r="A197" s="12"/>
      <c r="B197" s="13"/>
      <c r="C197" s="13"/>
      <c r="E197" s="12"/>
      <c r="F197" s="17"/>
      <c r="G197" s="9"/>
    </row>
    <row r="198" spans="1:7" x14ac:dyDescent="0.2">
      <c r="A198" s="12"/>
      <c r="B198" s="13"/>
      <c r="C198" s="13"/>
      <c r="E198" s="12"/>
      <c r="F198" s="17"/>
      <c r="G198" s="9"/>
    </row>
    <row r="199" spans="1:7" x14ac:dyDescent="0.2">
      <c r="A199" s="12"/>
      <c r="B199" s="13"/>
      <c r="C199" s="13"/>
      <c r="E199" s="12"/>
      <c r="F199" s="17"/>
      <c r="G199" s="9"/>
    </row>
    <row r="200" spans="1:7" x14ac:dyDescent="0.2">
      <c r="A200" s="4"/>
      <c r="B200" s="13"/>
      <c r="E200" s="12"/>
      <c r="F200" s="1"/>
      <c r="G200" s="3"/>
    </row>
    <row r="201" spans="1:7" x14ac:dyDescent="0.2">
      <c r="A201" s="4"/>
      <c r="B201" s="13"/>
      <c r="E201" s="12"/>
      <c r="F201" s="1"/>
      <c r="G201" s="3"/>
    </row>
    <row r="202" spans="1:7" x14ac:dyDescent="0.2">
      <c r="A202" s="4"/>
      <c r="G202" s="3"/>
    </row>
  </sheetData>
  <mergeCells count="16">
    <mergeCell ref="H36:I36"/>
    <mergeCell ref="B43:C43"/>
    <mergeCell ref="H43:I43"/>
    <mergeCell ref="H1:I1"/>
    <mergeCell ref="H8:I8"/>
    <mergeCell ref="H15:I15"/>
    <mergeCell ref="H22:I22"/>
    <mergeCell ref="H29:I29"/>
    <mergeCell ref="B1:C1"/>
    <mergeCell ref="B8:C8"/>
    <mergeCell ref="B15:C15"/>
    <mergeCell ref="B22:C22"/>
    <mergeCell ref="B29:C29"/>
    <mergeCell ref="B170:C170"/>
    <mergeCell ref="B186:C186"/>
    <mergeCell ref="B36:C3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dose</vt:lpstr>
      <vt:lpstr>feces pos ttmnt - 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Marine Burlat</cp:lastModifiedBy>
  <dcterms:created xsi:type="dcterms:W3CDTF">2019-08-28T20:54:54Z</dcterms:created>
  <dcterms:modified xsi:type="dcterms:W3CDTF">2023-06-12T21:23:20Z</dcterms:modified>
</cp:coreProperties>
</file>