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3/Mouse GI carriage/"/>
    </mc:Choice>
  </mc:AlternateContent>
  <xr:revisionPtr revIDLastSave="0" documentId="13_ncr:1_{127705D3-F353-F24A-B7F8-43CB3EF8EE31}" xr6:coauthVersionLast="47" xr6:coauthVersionMax="47" xr10:uidLastSave="{00000000-0000-0000-0000-000000000000}"/>
  <bookViews>
    <workbookView xWindow="0" yWindow="760" windowWidth="30240" windowHeight="18880" xr2:uid="{05D28018-5EC7-B748-ACA7-09DD0AD3B70C}"/>
  </bookViews>
  <sheets>
    <sheet name="dose" sheetId="6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39" i="5" l="1"/>
  <c r="G132" i="5"/>
  <c r="G125" i="5"/>
  <c r="F139" i="5"/>
  <c r="F132" i="5"/>
  <c r="F125" i="5"/>
  <c r="F118" i="5"/>
  <c r="F111" i="5"/>
  <c r="F104" i="5"/>
  <c r="F97" i="5"/>
  <c r="F90" i="5"/>
  <c r="F83" i="5"/>
  <c r="F76" i="5"/>
  <c r="F69" i="5"/>
  <c r="F62" i="5"/>
  <c r="F55" i="5"/>
  <c r="F48" i="5"/>
  <c r="F34" i="5"/>
  <c r="F27" i="5"/>
  <c r="F20" i="5"/>
  <c r="D20" i="5"/>
  <c r="F13" i="5"/>
  <c r="F6" i="5"/>
  <c r="F138" i="5"/>
  <c r="F137" i="5"/>
  <c r="F136" i="5"/>
  <c r="F135" i="5"/>
  <c r="F131" i="5"/>
  <c r="F130" i="5"/>
  <c r="F129" i="5"/>
  <c r="F128" i="5"/>
  <c r="F124" i="5"/>
  <c r="F123" i="5"/>
  <c r="F122" i="5"/>
  <c r="F121" i="5"/>
  <c r="F117" i="5"/>
  <c r="F116" i="5"/>
  <c r="F115" i="5"/>
  <c r="F114" i="5"/>
  <c r="F110" i="5"/>
  <c r="F109" i="5"/>
  <c r="F108" i="5"/>
  <c r="F107" i="5"/>
  <c r="F103" i="5"/>
  <c r="F102" i="5"/>
  <c r="F101" i="5"/>
  <c r="F100" i="5"/>
  <c r="D100" i="5"/>
  <c r="F96" i="5"/>
  <c r="F95" i="5"/>
  <c r="F94" i="5"/>
  <c r="F93" i="5"/>
  <c r="F89" i="5"/>
  <c r="F88" i="5"/>
  <c r="F87" i="5"/>
  <c r="F86" i="5"/>
  <c r="F82" i="5"/>
  <c r="F81" i="5"/>
  <c r="F80" i="5"/>
  <c r="F79" i="5"/>
  <c r="F75" i="5"/>
  <c r="F74" i="5"/>
  <c r="F73" i="5"/>
  <c r="F72" i="5"/>
  <c r="F68" i="5"/>
  <c r="F67" i="5"/>
  <c r="L65" i="5"/>
  <c r="F66" i="5"/>
  <c r="F65" i="5"/>
  <c r="F61" i="5"/>
  <c r="F60" i="5"/>
  <c r="F59" i="5"/>
  <c r="F58" i="5"/>
  <c r="F54" i="5"/>
  <c r="F53" i="5"/>
  <c r="F52" i="5"/>
  <c r="F51" i="5"/>
  <c r="F47" i="5"/>
  <c r="F46" i="5"/>
  <c r="F45" i="5"/>
  <c r="F44" i="5"/>
  <c r="F40" i="5"/>
  <c r="F39" i="5"/>
  <c r="F38" i="5"/>
  <c r="F37" i="5"/>
  <c r="F33" i="5"/>
  <c r="F32" i="5"/>
  <c r="F31" i="5"/>
  <c r="F30" i="5"/>
  <c r="F26" i="5"/>
  <c r="F25" i="5"/>
  <c r="F24" i="5"/>
  <c r="F23" i="5"/>
  <c r="F19" i="5"/>
  <c r="F18" i="5"/>
  <c r="F17" i="5"/>
  <c r="F16" i="5"/>
  <c r="F12" i="5"/>
  <c r="F11" i="5"/>
  <c r="F10" i="5"/>
  <c r="F9" i="5"/>
  <c r="F5" i="5"/>
  <c r="F4" i="5"/>
  <c r="F3" i="5"/>
  <c r="M2" i="5"/>
  <c r="F2" i="5"/>
  <c r="J33" i="6"/>
  <c r="L33" i="6" s="1"/>
  <c r="O10" i="6"/>
  <c r="J12" i="6"/>
  <c r="L29" i="6"/>
  <c r="L25" i="6"/>
  <c r="J22" i="6"/>
  <c r="L22" i="6" s="1"/>
  <c r="L12" i="6"/>
  <c r="L8" i="6"/>
  <c r="L3" i="6"/>
  <c r="H51" i="6"/>
  <c r="D139" i="5"/>
  <c r="D138" i="5"/>
  <c r="G138" i="5" s="1"/>
  <c r="D137" i="5"/>
  <c r="G137" i="5" s="1"/>
  <c r="D136" i="5"/>
  <c r="G136" i="5" s="1"/>
  <c r="D135" i="5"/>
  <c r="G135" i="5" s="1"/>
  <c r="D132" i="5"/>
  <c r="D131" i="5"/>
  <c r="G131" i="5" s="1"/>
  <c r="D130" i="5"/>
  <c r="D129" i="5"/>
  <c r="D128" i="5"/>
  <c r="G128" i="5" s="1"/>
  <c r="D125" i="5"/>
  <c r="D124" i="5"/>
  <c r="G124" i="5" s="1"/>
  <c r="D123" i="5"/>
  <c r="G123" i="5" s="1"/>
  <c r="D122" i="5"/>
  <c r="G122" i="5" s="1"/>
  <c r="D121" i="5"/>
  <c r="G121" i="5" s="1"/>
  <c r="D118" i="5"/>
  <c r="D117" i="5"/>
  <c r="D116" i="5"/>
  <c r="G116" i="5" s="1"/>
  <c r="D115" i="5"/>
  <c r="G115" i="5" s="1"/>
  <c r="D114" i="5"/>
  <c r="G114" i="5" s="1"/>
  <c r="D111" i="5"/>
  <c r="G111" i="5" s="1"/>
  <c r="D110" i="5"/>
  <c r="G110" i="5" s="1"/>
  <c r="D109" i="5"/>
  <c r="D108" i="5"/>
  <c r="G108" i="5" s="1"/>
  <c r="D107" i="5"/>
  <c r="K104" i="5"/>
  <c r="D104" i="5"/>
  <c r="G104" i="5" s="1"/>
  <c r="K103" i="5"/>
  <c r="D103" i="5"/>
  <c r="G103" i="5" s="1"/>
  <c r="K102" i="5"/>
  <c r="D102" i="5"/>
  <c r="G102" i="5" s="1"/>
  <c r="K101" i="5"/>
  <c r="D101" i="5"/>
  <c r="G101" i="5" s="1"/>
  <c r="K100" i="5"/>
  <c r="G100" i="5"/>
  <c r="K97" i="5"/>
  <c r="D97" i="5"/>
  <c r="G97" i="5" s="1"/>
  <c r="K96" i="5"/>
  <c r="D96" i="5"/>
  <c r="G96" i="5" s="1"/>
  <c r="K95" i="5"/>
  <c r="D95" i="5"/>
  <c r="G95" i="5" s="1"/>
  <c r="K94" i="5"/>
  <c r="D94" i="5"/>
  <c r="G94" i="5" s="1"/>
  <c r="K93" i="5"/>
  <c r="D93" i="5"/>
  <c r="G93" i="5" s="1"/>
  <c r="K90" i="5"/>
  <c r="D90" i="5"/>
  <c r="G90" i="5" s="1"/>
  <c r="K89" i="5"/>
  <c r="D89" i="5"/>
  <c r="G89" i="5" s="1"/>
  <c r="K88" i="5"/>
  <c r="D88" i="5"/>
  <c r="G88" i="5" s="1"/>
  <c r="K87" i="5"/>
  <c r="D87" i="5"/>
  <c r="G87" i="5" s="1"/>
  <c r="K86" i="5"/>
  <c r="D86" i="5"/>
  <c r="G86" i="5" s="1"/>
  <c r="K83" i="5"/>
  <c r="D83" i="5"/>
  <c r="G83" i="5" s="1"/>
  <c r="K82" i="5"/>
  <c r="D82" i="5"/>
  <c r="G82" i="5" s="1"/>
  <c r="K81" i="5"/>
  <c r="D81" i="5"/>
  <c r="G81" i="5" s="1"/>
  <c r="K80" i="5"/>
  <c r="D80" i="5"/>
  <c r="G80" i="5" s="1"/>
  <c r="K79" i="5"/>
  <c r="D79" i="5"/>
  <c r="G79" i="5" s="1"/>
  <c r="K76" i="5"/>
  <c r="D76" i="5"/>
  <c r="K75" i="5"/>
  <c r="D75" i="5"/>
  <c r="G75" i="5" s="1"/>
  <c r="K74" i="5"/>
  <c r="D74" i="5"/>
  <c r="G74" i="5" s="1"/>
  <c r="K73" i="5"/>
  <c r="D73" i="5"/>
  <c r="G73" i="5" s="1"/>
  <c r="K72" i="5"/>
  <c r="D72" i="5"/>
  <c r="G72" i="5" s="1"/>
  <c r="K69" i="5"/>
  <c r="D69" i="5"/>
  <c r="G69" i="5" s="1"/>
  <c r="K68" i="5"/>
  <c r="D68" i="5"/>
  <c r="G68" i="5" s="1"/>
  <c r="K67" i="5"/>
  <c r="D67" i="5"/>
  <c r="G67" i="5" s="1"/>
  <c r="K66" i="5"/>
  <c r="D66" i="5"/>
  <c r="K65" i="5"/>
  <c r="D65" i="5"/>
  <c r="G65" i="5" s="1"/>
  <c r="K62" i="5"/>
  <c r="D62" i="5"/>
  <c r="G62" i="5" s="1"/>
  <c r="K61" i="5"/>
  <c r="D61" i="5"/>
  <c r="G61" i="5" s="1"/>
  <c r="K60" i="5"/>
  <c r="D60" i="5"/>
  <c r="G60" i="5" s="1"/>
  <c r="K59" i="5"/>
  <c r="D59" i="5"/>
  <c r="G59" i="5" s="1"/>
  <c r="K58" i="5"/>
  <c r="D58" i="5"/>
  <c r="G58" i="5" s="1"/>
  <c r="K55" i="5"/>
  <c r="D55" i="5"/>
  <c r="G55" i="5" s="1"/>
  <c r="K54" i="5"/>
  <c r="D54" i="5"/>
  <c r="G54" i="5" s="1"/>
  <c r="K53" i="5"/>
  <c r="D53" i="5"/>
  <c r="G53" i="5" s="1"/>
  <c r="K52" i="5"/>
  <c r="D52" i="5"/>
  <c r="G52" i="5" s="1"/>
  <c r="K51" i="5"/>
  <c r="D51" i="5"/>
  <c r="G51" i="5" s="1"/>
  <c r="K48" i="5"/>
  <c r="D48" i="5"/>
  <c r="G48" i="5" s="1"/>
  <c r="K47" i="5"/>
  <c r="D47" i="5"/>
  <c r="G47" i="5" s="1"/>
  <c r="K46" i="5"/>
  <c r="D46" i="5"/>
  <c r="G46" i="5" s="1"/>
  <c r="K45" i="5"/>
  <c r="D45" i="5"/>
  <c r="G45" i="5" s="1"/>
  <c r="K44" i="5"/>
  <c r="D44" i="5"/>
  <c r="G44" i="5" s="1"/>
  <c r="K41" i="5"/>
  <c r="D41" i="5"/>
  <c r="G41" i="5" s="1"/>
  <c r="K40" i="5"/>
  <c r="D40" i="5"/>
  <c r="G40" i="5" s="1"/>
  <c r="K39" i="5"/>
  <c r="D39" i="5"/>
  <c r="G39" i="5" s="1"/>
  <c r="K38" i="5"/>
  <c r="D38" i="5"/>
  <c r="G38" i="5" s="1"/>
  <c r="K37" i="5"/>
  <c r="D37" i="5"/>
  <c r="G37" i="5" s="1"/>
  <c r="K33" i="5"/>
  <c r="K34" i="5"/>
  <c r="K32" i="5"/>
  <c r="K31" i="5"/>
  <c r="K30" i="5"/>
  <c r="K27" i="5"/>
  <c r="K26" i="5"/>
  <c r="K25" i="5"/>
  <c r="K24" i="5"/>
  <c r="K23" i="5"/>
  <c r="K20" i="5"/>
  <c r="K19" i="5"/>
  <c r="K18" i="5"/>
  <c r="K17" i="5"/>
  <c r="K16" i="5"/>
  <c r="K13" i="5"/>
  <c r="K12" i="5"/>
  <c r="K11" i="5"/>
  <c r="K10" i="5"/>
  <c r="K9" i="5"/>
  <c r="K3" i="5"/>
  <c r="K4" i="5"/>
  <c r="K5" i="5"/>
  <c r="K6" i="5"/>
  <c r="K2" i="5"/>
  <c r="G76" i="5" l="1"/>
  <c r="L72" i="5"/>
  <c r="G66" i="5"/>
  <c r="L103" i="5"/>
  <c r="L101" i="5"/>
  <c r="L38" i="5"/>
  <c r="L104" i="5"/>
  <c r="L97" i="5"/>
  <c r="L90" i="5"/>
  <c r="L83" i="5"/>
  <c r="L76" i="5"/>
  <c r="L69" i="5"/>
  <c r="L62" i="5"/>
  <c r="L55" i="5"/>
  <c r="L48" i="5"/>
  <c r="L41" i="5"/>
  <c r="L96" i="5"/>
  <c r="L89" i="5"/>
  <c r="L82" i="5"/>
  <c r="L75" i="5"/>
  <c r="L68" i="5"/>
  <c r="L61" i="5"/>
  <c r="L54" i="5"/>
  <c r="L47" i="5"/>
  <c r="L40" i="5"/>
  <c r="G109" i="5"/>
  <c r="L102" i="5"/>
  <c r="L100" i="5"/>
  <c r="L95" i="5"/>
  <c r="L94" i="5"/>
  <c r="L93" i="5"/>
  <c r="L88" i="5"/>
  <c r="L87" i="5"/>
  <c r="L86" i="5"/>
  <c r="L81" i="5"/>
  <c r="L80" i="5"/>
  <c r="L79" i="5"/>
  <c r="L74" i="5"/>
  <c r="L73" i="5"/>
  <c r="L67" i="5"/>
  <c r="L66" i="5"/>
  <c r="L60" i="5"/>
  <c r="L59" i="5"/>
  <c r="L58" i="5"/>
  <c r="L53" i="5"/>
  <c r="L52" i="5"/>
  <c r="L51" i="5"/>
  <c r="L46" i="5"/>
  <c r="L45" i="5"/>
  <c r="L44" i="5"/>
  <c r="L39" i="5"/>
  <c r="L37" i="5"/>
  <c r="G118" i="5"/>
  <c r="G130" i="5"/>
  <c r="G107" i="5"/>
  <c r="G117" i="5"/>
  <c r="G129" i="5"/>
  <c r="J32" i="6"/>
  <c r="L32" i="6" s="1"/>
  <c r="L28" i="6"/>
  <c r="L24" i="6"/>
  <c r="L15" i="6"/>
  <c r="L16" i="6"/>
  <c r="L17" i="6"/>
  <c r="M17" i="6" s="1"/>
  <c r="L18" i="6"/>
  <c r="L19" i="6"/>
  <c r="J21" i="6"/>
  <c r="L21" i="6" s="1"/>
  <c r="L4" i="6"/>
  <c r="L5" i="6"/>
  <c r="L6" i="6"/>
  <c r="L7" i="6"/>
  <c r="L9" i="6"/>
  <c r="J11" i="6"/>
  <c r="L11" i="6" s="1"/>
  <c r="L2" i="6"/>
  <c r="J10" i="6"/>
  <c r="L10" i="6" s="1"/>
  <c r="J13" i="6"/>
  <c r="L13" i="6" s="1"/>
  <c r="L14" i="6"/>
  <c r="J20" i="6"/>
  <c r="L20" i="6" s="1"/>
  <c r="L23" i="6"/>
  <c r="L26" i="6"/>
  <c r="L27" i="6"/>
  <c r="L30" i="6"/>
  <c r="J31" i="6"/>
  <c r="L31" i="6" s="1"/>
  <c r="J34" i="6"/>
  <c r="L34" i="6" s="1"/>
  <c r="L35" i="6"/>
  <c r="H42" i="6"/>
  <c r="I42" i="6"/>
  <c r="I43" i="6"/>
  <c r="H45" i="6"/>
  <c r="I45" i="6"/>
  <c r="I46" i="6"/>
  <c r="H48" i="6"/>
  <c r="I48" i="6"/>
  <c r="I49" i="6"/>
  <c r="M14" i="6" l="1"/>
  <c r="N14" i="6" s="1"/>
  <c r="J45" i="6" s="1"/>
  <c r="M6" i="6"/>
  <c r="N6" i="6" s="1"/>
  <c r="J43" i="6" s="1"/>
  <c r="M2" i="6"/>
  <c r="N2" i="6" s="1"/>
  <c r="J42" i="6" s="1"/>
  <c r="N17" i="6"/>
  <c r="J46" i="6" s="1"/>
  <c r="M10" i="6"/>
  <c r="N10" i="6" s="1"/>
  <c r="J44" i="6" s="1"/>
  <c r="M23" i="6"/>
  <c r="N23" i="6" s="1"/>
  <c r="J48" i="6" s="1"/>
  <c r="M27" i="6"/>
  <c r="N27" i="6" s="1"/>
  <c r="J49" i="6" s="1"/>
  <c r="M35" i="6"/>
  <c r="N35" i="6" s="1"/>
  <c r="J51" i="6" s="1"/>
  <c r="M31" i="6"/>
  <c r="N31" i="6" s="1"/>
  <c r="J50" i="6" s="1"/>
  <c r="M20" i="6"/>
  <c r="N20" i="6" s="1"/>
  <c r="J47" i="6" s="1"/>
  <c r="O20" i="6" l="1"/>
  <c r="O31" i="6"/>
  <c r="D34" i="5"/>
  <c r="L34" i="5" s="1"/>
  <c r="D33" i="5"/>
  <c r="L33" i="5" s="1"/>
  <c r="D32" i="5"/>
  <c r="L32" i="5" s="1"/>
  <c r="D31" i="5"/>
  <c r="L31" i="5" s="1"/>
  <c r="D30" i="5"/>
  <c r="D27" i="5"/>
  <c r="L27" i="5" s="1"/>
  <c r="D26" i="5"/>
  <c r="L26" i="5" s="1"/>
  <c r="D25" i="5"/>
  <c r="L25" i="5" s="1"/>
  <c r="D24" i="5"/>
  <c r="L24" i="5" s="1"/>
  <c r="D23" i="5"/>
  <c r="L20" i="5"/>
  <c r="D19" i="5"/>
  <c r="L19" i="5" s="1"/>
  <c r="D18" i="5"/>
  <c r="L18" i="5" s="1"/>
  <c r="D17" i="5"/>
  <c r="L17" i="5" s="1"/>
  <c r="D16" i="5"/>
  <c r="L16" i="5" s="1"/>
  <c r="D13" i="5"/>
  <c r="L13" i="5" s="1"/>
  <c r="D12" i="5"/>
  <c r="D11" i="5"/>
  <c r="L11" i="5" s="1"/>
  <c r="D10" i="5"/>
  <c r="L10" i="5" s="1"/>
  <c r="D9" i="5"/>
  <c r="L9" i="5" s="1"/>
  <c r="M18" i="5" l="1"/>
  <c r="M20" i="5"/>
  <c r="M32" i="5"/>
  <c r="M33" i="5"/>
  <c r="M10" i="5"/>
  <c r="M11" i="5"/>
  <c r="M24" i="5"/>
  <c r="M25" i="5"/>
  <c r="M16" i="5"/>
  <c r="M26" i="5"/>
  <c r="M17" i="5"/>
  <c r="M27" i="5"/>
  <c r="K50" i="6"/>
  <c r="M90" i="5"/>
  <c r="M101" i="5"/>
  <c r="M103" i="5"/>
  <c r="M94" i="5"/>
  <c r="M76" i="5"/>
  <c r="M89" i="5"/>
  <c r="M96" i="5"/>
  <c r="M80" i="5"/>
  <c r="M72" i="5"/>
  <c r="M102" i="5"/>
  <c r="M74" i="5"/>
  <c r="M86" i="5"/>
  <c r="M100" i="5"/>
  <c r="M79" i="5"/>
  <c r="M88" i="5"/>
  <c r="M81" i="5"/>
  <c r="M95" i="5"/>
  <c r="M104" i="5"/>
  <c r="M73" i="5"/>
  <c r="M97" i="5"/>
  <c r="M93" i="5"/>
  <c r="M75" i="5"/>
  <c r="M87" i="5"/>
  <c r="M83" i="5"/>
  <c r="M82" i="5"/>
  <c r="K44" i="6"/>
  <c r="M13" i="5"/>
  <c r="M34" i="5"/>
  <c r="M9" i="5"/>
  <c r="M19" i="5"/>
  <c r="M31" i="5"/>
  <c r="K47" i="6"/>
  <c r="M55" i="5"/>
  <c r="M48" i="5"/>
  <c r="M38" i="5"/>
  <c r="M46" i="5"/>
  <c r="M51" i="5"/>
  <c r="M60" i="5"/>
  <c r="M66" i="5"/>
  <c r="M45" i="5"/>
  <c r="M39" i="5"/>
  <c r="M52" i="5"/>
  <c r="M61" i="5"/>
  <c r="M69" i="5"/>
  <c r="M59" i="5"/>
  <c r="M54" i="5"/>
  <c r="M41" i="5"/>
  <c r="M67" i="5"/>
  <c r="M62" i="5"/>
  <c r="M68" i="5"/>
  <c r="M53" i="5"/>
  <c r="M47" i="5"/>
  <c r="M40" i="5"/>
  <c r="M65" i="5"/>
  <c r="M37" i="5"/>
  <c r="M58" i="5"/>
  <c r="M44" i="5"/>
  <c r="G12" i="5"/>
  <c r="L12" i="5"/>
  <c r="M12" i="5" s="1"/>
  <c r="G30" i="5"/>
  <c r="L30" i="5"/>
  <c r="M30" i="5" s="1"/>
  <c r="G23" i="5"/>
  <c r="L23" i="5"/>
  <c r="M23" i="5" s="1"/>
  <c r="G26" i="5"/>
  <c r="G11" i="5"/>
  <c r="G19" i="5"/>
  <c r="G9" i="5"/>
  <c r="G33" i="5"/>
  <c r="G18" i="5"/>
  <c r="G25" i="5"/>
  <c r="G16" i="5"/>
  <c r="G34" i="5"/>
  <c r="G32" i="5"/>
  <c r="G31" i="5"/>
  <c r="G27" i="5"/>
  <c r="G24" i="5"/>
  <c r="G20" i="5"/>
  <c r="G17" i="5"/>
  <c r="G13" i="5"/>
  <c r="G10" i="5"/>
  <c r="D6" i="5" l="1"/>
  <c r="L6" i="5" s="1"/>
  <c r="M6" i="5" s="1"/>
  <c r="D5" i="5"/>
  <c r="L5" i="5" s="1"/>
  <c r="M5" i="5" s="1"/>
  <c r="D4" i="5"/>
  <c r="L4" i="5" s="1"/>
  <c r="M4" i="5" s="1"/>
  <c r="D3" i="5"/>
  <c r="D2" i="5"/>
  <c r="L2" i="5" s="1"/>
  <c r="L3" i="5" l="1"/>
  <c r="M3" i="5" s="1"/>
  <c r="G3" i="5"/>
  <c r="G4" i="5"/>
  <c r="G6" i="5"/>
  <c r="G5" i="5"/>
  <c r="G2" i="5"/>
</calcChain>
</file>

<file path=xl/sharedStrings.xml><?xml version="1.0" encoding="utf-8"?>
<sst xmlns="http://schemas.openxmlformats.org/spreadsheetml/2006/main" count="321" uniqueCount="56">
  <si>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</si>
  <si>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</si>
  <si>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</si>
  <si>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</si>
  <si>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</si>
  <si>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</si>
  <si>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</si>
  <si>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</si>
  <si>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</si>
  <si>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</si>
  <si>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</si>
  <si>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</si>
  <si>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</si>
  <si>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</si>
  <si>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</si>
  <si>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TOTAL</t>
  </si>
  <si>
    <t>Ratio input (LacZ/WT)</t>
  </si>
  <si>
    <t>Compet index</t>
  </si>
  <si>
    <t>BL048LacZ - VBMXgal80 plates (blue)</t>
  </si>
  <si>
    <t>BL049 - VBMXgal80 plates (white)</t>
  </si>
  <si>
    <t>dilution factor</t>
  </si>
  <si>
    <t>number of white CFU (BL049)
(Xgal plates)</t>
  </si>
  <si>
    <t>BL049 vs BL054LacZ</t>
  </si>
  <si>
    <t>BL054LacZ - VBMXgal80 plates (blue)</t>
  </si>
  <si>
    <t>BL048delant2 - VBMXgal80 plates (white)</t>
  </si>
  <si>
    <t>BL048delant2 vs BL054 LacZ</t>
  </si>
  <si>
    <t>Ratio input (WT/lacZ)</t>
  </si>
  <si>
    <t>Mean in 10µL</t>
  </si>
  <si>
    <t>Output WT/LacZ</t>
  </si>
  <si>
    <t>number of blue CFU (BL048 LacZ)
(Xgal100 plates)</t>
  </si>
  <si>
    <t>number of blue CFU (BL054 LacZ)
(Xgal100 or gent10 plates)</t>
  </si>
  <si>
    <t>BL049 vs BL048LacZ</t>
  </si>
  <si>
    <t>BL054</t>
  </si>
  <si>
    <t>BL054 LacZ mouse 1</t>
  </si>
  <si>
    <t>BL054 LacZ mouse 2</t>
  </si>
  <si>
    <t>BL054 LacZ mouse 3</t>
  </si>
  <si>
    <t>BL054 LacZ mouse 4</t>
  </si>
  <si>
    <t>BL054 LacZ mouse 5</t>
  </si>
  <si>
    <t>number of CFU (VBM plates)</t>
  </si>
  <si>
    <t>BL048Δant2'':BL054 LacZ mouse 1 input ratio: 0.27</t>
  </si>
  <si>
    <t>BL048Δant2'':BL054 LacZ mouse 2 input ratio: 0.27</t>
  </si>
  <si>
    <t>BL048Δant2'':BL054 LacZ mouse 3 input ratio: 0.27</t>
  </si>
  <si>
    <t>BL048Δant2'':BL054 LacZ mouse 4 input ratio: 0.27</t>
  </si>
  <si>
    <t>BL048Δant2'':BL054 LacZ mouse 5 input ratio: 0.27</t>
  </si>
  <si>
    <t>number of white CFU (BL048Δant2'')
(Xgal plates)</t>
  </si>
  <si>
    <t>BL049:BL048 LacZ mouse 1 input ratio: 1.5</t>
  </si>
  <si>
    <t>BL049:BL048 LacZ mouse 2 input ratio: 1.5</t>
  </si>
  <si>
    <t>BL049:BL048 LacZ mouse 3 input ratio: 1.5</t>
  </si>
  <si>
    <t>BL049:BL048 LacZ mouse 4 input ratio: 1.5</t>
  </si>
  <si>
    <t>BL049:BL048 LacZ mouse 5 input ratio: 1.5</t>
  </si>
  <si>
    <t>BL049:BL054 LacZ mouse 1 input ratio: 0.59</t>
  </si>
  <si>
    <t>BL049:BL054 LacZ mouse 2 input ratio: 0.59</t>
  </si>
  <si>
    <t>BL049:BL054 LacZ mouse 3 input ratio: 0.59</t>
  </si>
  <si>
    <t>BL049:BL054 LacZ mouse 4 input ratio: 0.59</t>
  </si>
  <si>
    <t>BL049:BL054 LacZ mouse 5 input ratio: 0.59</t>
  </si>
  <si>
    <t>day 14 - dead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</si>
</sst>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EDD7FF"/>
        <bgColor indexed="64"/>
      </patternFill>
    </fill>
    <fill>
      <patternFill patternType="solid">
        <fgColor rgb="FFFFE5F6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4" fontId="0" fillId="0" borderId="0" xfId="0" applyNumberFormat="1" applyAlignment="1">
      <alignment horizontal="center" vertical="center"/>
    </xf>
    <xf numFmtId="0" fontId="0" fillId="5" borderId="0" xfId="0" applyFill="1" applyAlignment="1">
      <alignment horizontal="center"/>
    </xf>
    <xf numFmtId="0" fontId="0" fillId="5" borderId="0" xfId="0" applyFill="1"/>
    <xf numFmtId="164" fontId="0" fillId="5" borderId="0" xfId="0" applyNumberFormat="1" applyFill="1"/>
    <xf numFmtId="0" fontId="5" fillId="5" borderId="0" xfId="0" applyFont="1" applyFill="1" applyAlignment="1">
      <alignment horizontal="center"/>
    </xf>
    <xf numFmtId="0" fontId="5" fillId="5" borderId="0" xfId="0" applyFont="1" applyFill="1"/>
    <xf numFmtId="0" fontId="0" fillId="0" borderId="3" xfId="0" applyBorder="1"/>
    <xf numFmtId="11" fontId="0" fillId="0" borderId="3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0" fontId="0" fillId="0" borderId="5" xfId="0" applyBorder="1"/>
    <xf numFmtId="0" fontId="0" fillId="0" borderId="7" xfId="0" applyBorder="1"/>
    <xf numFmtId="11" fontId="0" fillId="0" borderId="7" xfId="0" applyNumberFormat="1" applyBorder="1" applyAlignment="1">
      <alignment horizontal="center" vertical="center"/>
    </xf>
    <xf numFmtId="11" fontId="0" fillId="0" borderId="13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4" xfId="0" applyBorder="1"/>
    <xf numFmtId="11" fontId="0" fillId="0" borderId="3" xfId="0" applyNumberFormat="1" applyBorder="1" applyAlignment="1">
      <alignment horizontal="center"/>
    </xf>
    <xf numFmtId="11" fontId="0" fillId="0" borderId="4" xfId="0" applyNumberForma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0" fillId="5" borderId="0" xfId="0" applyNumberFormat="1" applyFill="1"/>
    <xf numFmtId="0" fontId="0" fillId="0" borderId="18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165" fontId="0" fillId="2" borderId="29" xfId="0" applyNumberFormat="1" applyFill="1" applyBorder="1" applyAlignment="1">
      <alignment horizontal="center" vertical="center"/>
    </xf>
    <xf numFmtId="0" fontId="0" fillId="0" borderId="26" xfId="0" applyBorder="1"/>
    <xf numFmtId="0" fontId="0" fillId="0" borderId="30" xfId="0" applyBorder="1"/>
    <xf numFmtId="165" fontId="0" fillId="0" borderId="31" xfId="0" applyNumberFormat="1" applyBorder="1" applyAlignment="1">
      <alignment horizontal="center" vertical="center"/>
    </xf>
    <xf numFmtId="165" fontId="0" fillId="0" borderId="32" xfId="0" applyNumberFormat="1" applyBorder="1" applyAlignment="1">
      <alignment horizontal="center" vertical="center"/>
    </xf>
    <xf numFmtId="165" fontId="0" fillId="2" borderId="33" xfId="0" applyNumberFormat="1" applyFill="1" applyBorder="1" applyAlignment="1">
      <alignment horizontal="center" vertical="center"/>
    </xf>
    <xf numFmtId="165" fontId="0" fillId="0" borderId="34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165" fontId="0" fillId="0" borderId="40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166" fontId="0" fillId="0" borderId="0" xfId="0" applyNumberFormat="1" applyAlignment="1">
      <alignment horizontal="center" vertical="center" wrapText="1"/>
    </xf>
    <xf numFmtId="166" fontId="0" fillId="0" borderId="0" xfId="0" applyNumberFormat="1"/>
    <xf numFmtId="166" fontId="0" fillId="5" borderId="0" xfId="0" applyNumberFormat="1" applyFill="1"/>
    <xf numFmtId="0" fontId="6" fillId="5" borderId="0" xfId="0" applyFont="1" applyFill="1" applyAlignment="1">
      <alignment horizontal="center" vertical="center" wrapText="1"/>
    </xf>
    <xf numFmtId="0" fontId="0" fillId="5" borderId="0" xfId="0" applyFill="1" applyAlignment="1">
      <alignment vertical="center" wrapText="1"/>
    </xf>
    <xf numFmtId="0" fontId="0" fillId="5" borderId="0" xfId="0" applyFill="1" applyAlignment="1">
      <alignment horizontal="center" vertical="center" wrapText="1"/>
    </xf>
    <xf numFmtId="164" fontId="0" fillId="5" borderId="0" xfId="0" applyNumberFormat="1" applyFill="1" applyAlignment="1">
      <alignment horizontal="center" vertical="center" wrapText="1"/>
    </xf>
    <xf numFmtId="1" fontId="0" fillId="5" borderId="0" xfId="0" applyNumberFormat="1" applyFill="1" applyAlignment="1">
      <alignment horizontal="center" vertical="center" wrapText="1"/>
    </xf>
    <xf numFmtId="2" fontId="0" fillId="2" borderId="29" xfId="0" applyNumberFormat="1" applyFill="1" applyBorder="1" applyAlignment="1">
      <alignment horizontal="center" vertical="center"/>
    </xf>
    <xf numFmtId="0" fontId="0" fillId="0" borderId="13" xfId="0" applyBorder="1"/>
    <xf numFmtId="165" fontId="0" fillId="2" borderId="25" xfId="0" applyNumberFormat="1" applyFill="1" applyBorder="1" applyAlignment="1">
      <alignment horizontal="center" vertical="center"/>
    </xf>
    <xf numFmtId="11" fontId="0" fillId="0" borderId="45" xfId="0" applyNumberFormat="1" applyBorder="1" applyAlignment="1">
      <alignment horizontal="center" vertical="center"/>
    </xf>
    <xf numFmtId="11" fontId="0" fillId="0" borderId="42" xfId="0" applyNumberFormat="1" applyBorder="1" applyAlignment="1">
      <alignment horizontal="center" vertical="center"/>
    </xf>
    <xf numFmtId="11" fontId="0" fillId="0" borderId="46" xfId="0" applyNumberFormat="1" applyBorder="1" applyAlignment="1">
      <alignment horizontal="center" vertical="center"/>
    </xf>
    <xf numFmtId="0" fontId="0" fillId="0" borderId="37" xfId="0" applyBorder="1" applyAlignment="1">
      <alignment vertical="center" wrapText="1"/>
    </xf>
    <xf numFmtId="165" fontId="0" fillId="0" borderId="0" xfId="0" applyNumberFormat="1" applyAlignment="1">
      <alignment horizontal="center" vertical="center"/>
    </xf>
    <xf numFmtId="0" fontId="0" fillId="0" borderId="46" xfId="0" applyBorder="1" applyAlignment="1">
      <alignment horizontal="center" vertical="center"/>
    </xf>
    <xf numFmtId="165" fontId="0" fillId="0" borderId="0" xfId="0" applyNumberFormat="1"/>
    <xf numFmtId="0" fontId="0" fillId="0" borderId="26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38" xfId="0" applyBorder="1" applyAlignment="1">
      <alignment horizontal="center"/>
    </xf>
    <xf numFmtId="2" fontId="0" fillId="2" borderId="39" xfId="0" applyNumberFormat="1" applyFill="1" applyBorder="1" applyAlignment="1">
      <alignment horizontal="center"/>
    </xf>
    <xf numFmtId="0" fontId="0" fillId="0" borderId="36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1" fontId="0" fillId="0" borderId="3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11" fontId="0" fillId="0" borderId="4" xfId="0" applyNumberFormat="1" applyBorder="1" applyAlignment="1">
      <alignment horizontal="center" vertical="center"/>
    </xf>
    <xf numFmtId="11" fontId="0" fillId="0" borderId="2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1" xfId="0" applyNumberFormat="1" applyFill="1" applyBorder="1" applyAlignment="1">
      <alignment horizontal="center" vertical="center"/>
    </xf>
    <xf numFmtId="2" fontId="0" fillId="2" borderId="22" xfId="0" applyNumberFormat="1" applyFill="1" applyBorder="1" applyAlignment="1">
      <alignment horizontal="center" vertical="center"/>
    </xf>
    <xf numFmtId="2" fontId="0" fillId="2" borderId="23" xfId="0" applyNumberFormat="1" applyFill="1" applyBorder="1" applyAlignment="1">
      <alignment horizontal="center" vertical="center"/>
    </xf>
    <xf numFmtId="2" fontId="0" fillId="2" borderId="24" xfId="0" applyNumberFormat="1" applyFill="1" applyBorder="1" applyAlignment="1">
      <alignment horizontal="center" vertical="center"/>
    </xf>
    <xf numFmtId="2" fontId="0" fillId="2" borderId="25" xfId="0" applyNumberForma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165" fontId="0" fillId="2" borderId="23" xfId="0" applyNumberFormat="1" applyFill="1" applyBorder="1" applyAlignment="1">
      <alignment horizontal="center" vertical="center"/>
    </xf>
    <xf numFmtId="165" fontId="0" fillId="2" borderId="24" xfId="0" applyNumberFormat="1" applyFill="1" applyBorder="1" applyAlignment="1">
      <alignment horizontal="center" vertical="center"/>
    </xf>
    <xf numFmtId="165" fontId="0" fillId="2" borderId="25" xfId="0" applyNumberForma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4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11" fontId="0" fillId="0" borderId="19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1" fontId="0" fillId="0" borderId="7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2" fontId="0" fillId="0" borderId="2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2" fontId="0" fillId="2" borderId="15" xfId="0" applyNumberFormat="1" applyFill="1" applyBorder="1" applyAlignment="1">
      <alignment horizontal="center" vertical="center"/>
    </xf>
    <xf numFmtId="11" fontId="0" fillId="0" borderId="14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D7FF"/>
      <color rgb="FFFFE5F6"/>
      <color rgb="FFE6E6E6"/>
      <color rgb="FFEBBEFF"/>
      <color rgb="FFD38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65A74-6E46-5B48-A06B-5960E6F4185C}">
  <dimension ref="A1:Q51"/>
  <sheetViews>
    <sheetView tabSelected="1" topLeftCell="B36" zoomScale="120" zoomScaleNormal="120" workbookViewId="0">
      <selection activeCell="H41" sqref="H41:K51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8.5" customWidth="1"/>
    <col min="11" max="11" width="21" customWidth="1"/>
    <col min="12" max="12" width="11.6640625" customWidth="1"/>
    <col min="15" max="15" width="12" customWidth="1"/>
  </cols>
  <sheetData>
    <row r="1" spans="1:17" ht="33" customHeight="1" thickBot="1" x14ac:dyDescent="0.25">
      <c r="A1" s="19"/>
      <c r="B1" s="19"/>
      <c r="C1" s="19"/>
      <c r="D1" s="19"/>
      <c r="E1" s="19"/>
      <c r="I1" s="1"/>
      <c r="J1" s="39" t="s">
        <v>4</v>
      </c>
      <c r="K1" s="39" t="s">
        <v>5</v>
      </c>
      <c r="L1" s="39" t="s">
        <v>9</v>
      </c>
      <c r="M1" s="39" t="s">
        <v>6</v>
      </c>
      <c r="N1" s="39" t="s">
        <v>7</v>
      </c>
      <c r="O1" s="39" t="s">
        <v>26</v>
      </c>
      <c r="Q1" s="6" t="s">
        <v>14</v>
      </c>
    </row>
    <row r="2" spans="1:17" ht="16" customHeight="1" x14ac:dyDescent="0.2">
      <c r="A2" s="20"/>
      <c r="B2" s="21"/>
      <c r="C2" s="21"/>
      <c r="D2" s="1"/>
      <c r="E2" s="5"/>
      <c r="H2" s="117" t="s">
        <v>25</v>
      </c>
      <c r="I2" s="114" t="s">
        <v>24</v>
      </c>
      <c r="J2" s="32">
        <v>4</v>
      </c>
      <c r="K2" s="70">
        <v>10000</v>
      </c>
      <c r="L2" s="71">
        <f>J2*5*K2</f>
        <v>200000</v>
      </c>
      <c r="M2" s="116">
        <f>AVERAGE(L2:L5)</f>
        <v>175000</v>
      </c>
      <c r="N2" s="112">
        <f>LOG10(M2)</f>
        <v>5.2430380486862944</v>
      </c>
      <c r="Q2" s="113">
        <v>0.40300000000000002</v>
      </c>
    </row>
    <row r="3" spans="1:17" ht="16" customHeight="1" x14ac:dyDescent="0.2">
      <c r="A3" s="20"/>
      <c r="B3" s="21"/>
      <c r="C3" s="21"/>
      <c r="D3" s="1"/>
      <c r="E3" s="5"/>
      <c r="H3" s="118"/>
      <c r="I3" s="115"/>
      <c r="J3" s="31">
        <v>3</v>
      </c>
      <c r="K3" s="28">
        <v>10000</v>
      </c>
      <c r="L3" s="28">
        <f>J3*5*K3</f>
        <v>150000</v>
      </c>
      <c r="M3" s="96"/>
      <c r="N3" s="97"/>
      <c r="Q3" s="113"/>
    </row>
    <row r="4" spans="1:17" ht="16" customHeight="1" x14ac:dyDescent="0.2">
      <c r="A4" s="20"/>
      <c r="B4" s="21"/>
      <c r="C4" s="21"/>
      <c r="D4" s="1"/>
      <c r="E4" s="5"/>
      <c r="H4" s="118"/>
      <c r="I4" s="115"/>
      <c r="J4" s="31">
        <v>3</v>
      </c>
      <c r="K4" s="35">
        <v>10000</v>
      </c>
      <c r="L4" s="28">
        <f t="shared" ref="L4:L12" si="0">J4*5*K4</f>
        <v>150000</v>
      </c>
      <c r="M4" s="96"/>
      <c r="N4" s="97"/>
      <c r="Q4" s="113"/>
    </row>
    <row r="5" spans="1:17" ht="16" customHeight="1" x14ac:dyDescent="0.2">
      <c r="A5" s="20"/>
      <c r="B5" s="21"/>
      <c r="C5" s="21"/>
      <c r="D5" s="1"/>
      <c r="E5" s="5"/>
      <c r="H5" s="118"/>
      <c r="I5" s="95"/>
      <c r="J5" s="31">
        <v>4</v>
      </c>
      <c r="K5" s="35">
        <v>10000</v>
      </c>
      <c r="L5" s="28">
        <f t="shared" si="0"/>
        <v>200000</v>
      </c>
      <c r="M5" s="96"/>
      <c r="N5" s="97"/>
      <c r="Q5" s="113"/>
    </row>
    <row r="6" spans="1:17" ht="16" customHeight="1" x14ac:dyDescent="0.2">
      <c r="A6" s="20"/>
      <c r="B6" s="21"/>
      <c r="C6" s="21"/>
      <c r="D6" s="1"/>
      <c r="E6" s="5"/>
      <c r="H6" s="118"/>
      <c r="I6" s="98" t="s">
        <v>23</v>
      </c>
      <c r="J6" s="27">
        <v>13</v>
      </c>
      <c r="K6" s="28">
        <v>10000</v>
      </c>
      <c r="L6" s="28">
        <f t="shared" si="0"/>
        <v>650000</v>
      </c>
      <c r="M6" s="87">
        <f>AVERAGE(L6:L9)</f>
        <v>650000</v>
      </c>
      <c r="N6" s="88">
        <f>LOG10(M6)</f>
        <v>5.8129133566428557</v>
      </c>
      <c r="Q6" s="89">
        <v>0.35099999999999998</v>
      </c>
    </row>
    <row r="7" spans="1:17" x14ac:dyDescent="0.2">
      <c r="A7" s="20"/>
      <c r="B7" s="21"/>
      <c r="C7" s="21"/>
      <c r="D7" s="1"/>
      <c r="E7" s="5"/>
      <c r="H7" s="118"/>
      <c r="I7" s="115"/>
      <c r="J7" s="27">
        <v>16</v>
      </c>
      <c r="K7" s="28">
        <v>10000</v>
      </c>
      <c r="L7" s="28">
        <f t="shared" si="0"/>
        <v>800000</v>
      </c>
      <c r="M7" s="87"/>
      <c r="N7" s="88"/>
      <c r="Q7" s="89"/>
    </row>
    <row r="8" spans="1:17" x14ac:dyDescent="0.2">
      <c r="A8" s="20"/>
      <c r="B8" s="21"/>
      <c r="C8" s="21"/>
      <c r="D8" s="1"/>
      <c r="E8" s="5"/>
      <c r="H8" s="118"/>
      <c r="I8" s="115"/>
      <c r="J8" s="27">
        <v>11</v>
      </c>
      <c r="K8" s="28">
        <v>10000</v>
      </c>
      <c r="L8" s="28">
        <f t="shared" si="0"/>
        <v>550000</v>
      </c>
      <c r="M8" s="87"/>
      <c r="N8" s="88"/>
      <c r="Q8" s="89"/>
    </row>
    <row r="9" spans="1:17" ht="17" thickBot="1" x14ac:dyDescent="0.25">
      <c r="A9" s="20"/>
      <c r="B9" s="21"/>
      <c r="C9" s="21"/>
      <c r="D9" s="1"/>
      <c r="E9" s="5"/>
      <c r="H9" s="118"/>
      <c r="I9" s="95"/>
      <c r="J9" s="27">
        <v>12</v>
      </c>
      <c r="K9" s="28">
        <v>10000</v>
      </c>
      <c r="L9" s="28">
        <f t="shared" si="0"/>
        <v>600000</v>
      </c>
      <c r="M9" s="87"/>
      <c r="N9" s="88"/>
      <c r="Q9" s="89"/>
    </row>
    <row r="10" spans="1:17" ht="16" customHeight="1" x14ac:dyDescent="0.2">
      <c r="H10" s="118"/>
      <c r="I10" s="126" t="s">
        <v>15</v>
      </c>
      <c r="J10" s="27">
        <f>J2+J6</f>
        <v>17</v>
      </c>
      <c r="K10" s="37">
        <v>10000</v>
      </c>
      <c r="L10" s="28">
        <f t="shared" si="0"/>
        <v>850000</v>
      </c>
      <c r="M10" s="99">
        <f>AVERAGE(L10:L13)</f>
        <v>837500</v>
      </c>
      <c r="N10" s="102">
        <f>LOG10(M10)</f>
        <v>5.9229848157088831</v>
      </c>
      <c r="O10" s="104">
        <f>M2/M6</f>
        <v>0.26923076923076922</v>
      </c>
    </row>
    <row r="11" spans="1:17" ht="16" customHeight="1" x14ac:dyDescent="0.2">
      <c r="H11" s="118"/>
      <c r="I11" s="101"/>
      <c r="J11" s="27">
        <f>J4+J7</f>
        <v>19</v>
      </c>
      <c r="K11" s="38">
        <v>10000</v>
      </c>
      <c r="L11" s="28">
        <f t="shared" si="0"/>
        <v>950000</v>
      </c>
      <c r="M11" s="100"/>
      <c r="N11" s="103"/>
      <c r="O11" s="105"/>
    </row>
    <row r="12" spans="1:17" ht="16" customHeight="1" x14ac:dyDescent="0.2">
      <c r="H12" s="118"/>
      <c r="I12" s="101"/>
      <c r="J12" s="27">
        <f>J5+J8</f>
        <v>15</v>
      </c>
      <c r="K12" s="38">
        <v>10000</v>
      </c>
      <c r="L12" s="28">
        <f t="shared" si="0"/>
        <v>750000</v>
      </c>
      <c r="M12" s="100"/>
      <c r="N12" s="103"/>
      <c r="O12" s="105"/>
    </row>
    <row r="13" spans="1:17" ht="16" customHeight="1" thickBot="1" x14ac:dyDescent="0.25">
      <c r="H13" s="119"/>
      <c r="I13" s="127"/>
      <c r="J13" s="36">
        <f>J5+J9</f>
        <v>16</v>
      </c>
      <c r="K13" s="38">
        <v>10000</v>
      </c>
      <c r="L13" s="29">
        <f>J13*5*K13</f>
        <v>800000</v>
      </c>
      <c r="M13" s="101"/>
      <c r="N13" s="103"/>
      <c r="O13" s="106"/>
    </row>
    <row r="14" spans="1:17" ht="16" customHeight="1" x14ac:dyDescent="0.2">
      <c r="H14" s="90" t="s">
        <v>31</v>
      </c>
      <c r="I14" s="94" t="s">
        <v>19</v>
      </c>
      <c r="J14" s="32">
        <v>10</v>
      </c>
      <c r="K14" s="33">
        <v>10000</v>
      </c>
      <c r="L14" s="33">
        <f>J14*5*K14</f>
        <v>500000</v>
      </c>
      <c r="M14" s="122">
        <f>AVERAGE(L14:L16)</f>
        <v>566666.66666666663</v>
      </c>
      <c r="N14" s="112">
        <f>LOG10(M14)</f>
        <v>5.7533276666586115</v>
      </c>
      <c r="Q14" s="111">
        <v>0.33700000000000002</v>
      </c>
    </row>
    <row r="15" spans="1:17" ht="16" customHeight="1" x14ac:dyDescent="0.2">
      <c r="H15" s="91"/>
      <c r="I15" s="95"/>
      <c r="J15" s="31">
        <v>9</v>
      </c>
      <c r="K15" s="30">
        <v>10000</v>
      </c>
      <c r="L15" s="28">
        <f t="shared" ref="L15:L22" si="1">J15*5*K15</f>
        <v>450000</v>
      </c>
      <c r="M15" s="123"/>
      <c r="N15" s="97"/>
      <c r="Q15" s="111"/>
    </row>
    <row r="16" spans="1:17" ht="16" customHeight="1" x14ac:dyDescent="0.2">
      <c r="H16" s="91"/>
      <c r="I16" s="95"/>
      <c r="J16" s="31">
        <v>15</v>
      </c>
      <c r="K16" s="28">
        <v>10000</v>
      </c>
      <c r="L16" s="28">
        <f t="shared" si="1"/>
        <v>750000</v>
      </c>
      <c r="M16" s="123"/>
      <c r="N16" s="97"/>
      <c r="Q16" s="111"/>
    </row>
    <row r="17" spans="8:17" ht="16" customHeight="1" x14ac:dyDescent="0.2">
      <c r="H17" s="92"/>
      <c r="I17" s="86" t="s">
        <v>18</v>
      </c>
      <c r="J17" s="27">
        <v>11</v>
      </c>
      <c r="K17" s="28">
        <v>10000</v>
      </c>
      <c r="L17" s="28">
        <f t="shared" si="1"/>
        <v>550000</v>
      </c>
      <c r="M17" s="87">
        <f>AVERAGE(L17:L19)</f>
        <v>366666.66666666669</v>
      </c>
      <c r="N17" s="124">
        <f>LOG10(M17)</f>
        <v>5.5642714304385628</v>
      </c>
      <c r="Q17" s="107">
        <v>0.39700000000000002</v>
      </c>
    </row>
    <row r="18" spans="8:17" ht="16" customHeight="1" x14ac:dyDescent="0.2">
      <c r="H18" s="92"/>
      <c r="I18" s="86"/>
      <c r="J18" s="27">
        <v>5</v>
      </c>
      <c r="K18" s="28">
        <v>10000</v>
      </c>
      <c r="L18" s="28">
        <f t="shared" si="1"/>
        <v>250000</v>
      </c>
      <c r="M18" s="87"/>
      <c r="N18" s="125"/>
      <c r="Q18" s="107"/>
    </row>
    <row r="19" spans="8:17" ht="16" customHeight="1" thickBot="1" x14ac:dyDescent="0.25">
      <c r="H19" s="92"/>
      <c r="I19" s="86"/>
      <c r="J19" s="27">
        <v>6</v>
      </c>
      <c r="K19" s="28">
        <v>10000</v>
      </c>
      <c r="L19" s="28">
        <f t="shared" si="1"/>
        <v>300000</v>
      </c>
      <c r="M19" s="87"/>
      <c r="N19" s="125"/>
      <c r="Q19" s="107"/>
    </row>
    <row r="20" spans="8:17" x14ac:dyDescent="0.2">
      <c r="H20" s="92"/>
      <c r="I20" s="86" t="s">
        <v>15</v>
      </c>
      <c r="J20" s="27">
        <f>J14+J17</f>
        <v>21</v>
      </c>
      <c r="K20" s="28">
        <v>10000</v>
      </c>
      <c r="L20" s="28">
        <f t="shared" si="1"/>
        <v>1050000</v>
      </c>
      <c r="M20" s="99">
        <f>AVERAGE(L20:L22)</f>
        <v>933333.33333333337</v>
      </c>
      <c r="N20" s="102">
        <f>LOG10(M20)</f>
        <v>5.9700367766225568</v>
      </c>
      <c r="O20" s="108">
        <f>M14/M17</f>
        <v>1.5454545454545452</v>
      </c>
      <c r="P20" s="18"/>
    </row>
    <row r="21" spans="8:17" x14ac:dyDescent="0.2">
      <c r="H21" s="93"/>
      <c r="I21" s="98"/>
      <c r="J21" s="27">
        <f>J15+J18</f>
        <v>14</v>
      </c>
      <c r="K21" s="28">
        <v>10000</v>
      </c>
      <c r="L21" s="28">
        <f t="shared" si="1"/>
        <v>700000</v>
      </c>
      <c r="M21" s="100"/>
      <c r="N21" s="103"/>
      <c r="O21" s="109"/>
      <c r="P21" s="18"/>
    </row>
    <row r="22" spans="8:17" ht="17" thickBot="1" x14ac:dyDescent="0.25">
      <c r="H22" s="120"/>
      <c r="I22" s="121"/>
      <c r="J22" s="68">
        <f>J16+J19</f>
        <v>21</v>
      </c>
      <c r="K22" s="34">
        <v>10000</v>
      </c>
      <c r="L22" s="34">
        <f t="shared" si="1"/>
        <v>1050000</v>
      </c>
      <c r="M22" s="129"/>
      <c r="N22" s="128"/>
      <c r="O22" s="110"/>
      <c r="P22" s="18"/>
    </row>
    <row r="23" spans="8:17" ht="16" customHeight="1" x14ac:dyDescent="0.2">
      <c r="H23" s="90" t="s">
        <v>22</v>
      </c>
      <c r="I23" s="94" t="s">
        <v>19</v>
      </c>
      <c r="J23" s="31">
        <v>5</v>
      </c>
      <c r="K23" s="70">
        <v>10000</v>
      </c>
      <c r="L23" s="30">
        <f t="shared" ref="L23:L35" si="2">J23*5*K23</f>
        <v>250000</v>
      </c>
      <c r="M23" s="96">
        <f>AVERAGE(L23:L26)</f>
        <v>487500</v>
      </c>
      <c r="N23" s="97">
        <f>LOG10(M23)</f>
        <v>5.6879746200345558</v>
      </c>
      <c r="Q23" s="107">
        <v>0.33700000000000002</v>
      </c>
    </row>
    <row r="24" spans="8:17" x14ac:dyDescent="0.2">
      <c r="H24" s="91"/>
      <c r="I24" s="95"/>
      <c r="J24" s="31">
        <v>11</v>
      </c>
      <c r="K24" s="28">
        <v>10000</v>
      </c>
      <c r="L24" s="30">
        <f t="shared" si="2"/>
        <v>550000</v>
      </c>
      <c r="M24" s="96"/>
      <c r="N24" s="97"/>
      <c r="Q24" s="107"/>
    </row>
    <row r="25" spans="8:17" x14ac:dyDescent="0.2">
      <c r="H25" s="91"/>
      <c r="I25" s="95"/>
      <c r="J25" s="31">
        <v>6</v>
      </c>
      <c r="K25" s="35">
        <v>10000</v>
      </c>
      <c r="L25" s="30">
        <f t="shared" ref="L25" si="3">J25*5*K25</f>
        <v>300000</v>
      </c>
      <c r="M25" s="96"/>
      <c r="N25" s="97"/>
      <c r="Q25" s="107"/>
    </row>
    <row r="26" spans="8:17" x14ac:dyDescent="0.2">
      <c r="H26" s="91"/>
      <c r="I26" s="95"/>
      <c r="J26" s="31">
        <v>17</v>
      </c>
      <c r="K26" s="35">
        <v>10000</v>
      </c>
      <c r="L26" s="28">
        <f t="shared" si="2"/>
        <v>850000</v>
      </c>
      <c r="M26" s="96"/>
      <c r="N26" s="97"/>
      <c r="Q26" s="107"/>
    </row>
    <row r="27" spans="8:17" ht="16" customHeight="1" x14ac:dyDescent="0.2">
      <c r="H27" s="92"/>
      <c r="I27" s="86" t="s">
        <v>23</v>
      </c>
      <c r="J27" s="27">
        <v>10</v>
      </c>
      <c r="K27" s="28">
        <v>10000</v>
      </c>
      <c r="L27" s="30">
        <f t="shared" si="2"/>
        <v>500000</v>
      </c>
      <c r="M27" s="87">
        <f>AVERAGE(L27:L30)</f>
        <v>825000</v>
      </c>
      <c r="N27" s="88">
        <f>LOG10(M27)</f>
        <v>5.9164539485499255</v>
      </c>
      <c r="Q27" s="89">
        <v>0.35099999999999998</v>
      </c>
    </row>
    <row r="28" spans="8:17" x14ac:dyDescent="0.2">
      <c r="H28" s="92"/>
      <c r="I28" s="86"/>
      <c r="J28" s="27">
        <v>14</v>
      </c>
      <c r="K28" s="28">
        <v>10000</v>
      </c>
      <c r="L28" s="30">
        <f t="shared" si="2"/>
        <v>700000</v>
      </c>
      <c r="M28" s="87"/>
      <c r="N28" s="88"/>
      <c r="Q28" s="89"/>
    </row>
    <row r="29" spans="8:17" x14ac:dyDescent="0.2">
      <c r="H29" s="92"/>
      <c r="I29" s="86"/>
      <c r="J29" s="27">
        <v>19</v>
      </c>
      <c r="K29" s="28">
        <v>10000</v>
      </c>
      <c r="L29" s="30">
        <f t="shared" ref="L29" si="4">J29*5*K29</f>
        <v>950000</v>
      </c>
      <c r="M29" s="87"/>
      <c r="N29" s="88"/>
      <c r="Q29" s="89"/>
    </row>
    <row r="30" spans="8:17" ht="17" thickBot="1" x14ac:dyDescent="0.25">
      <c r="H30" s="92"/>
      <c r="I30" s="86"/>
      <c r="J30" s="27">
        <v>23</v>
      </c>
      <c r="K30" s="28">
        <v>10000</v>
      </c>
      <c r="L30" s="30">
        <f t="shared" si="2"/>
        <v>1150000</v>
      </c>
      <c r="M30" s="87"/>
      <c r="N30" s="88"/>
      <c r="Q30" s="89"/>
    </row>
    <row r="31" spans="8:17" x14ac:dyDescent="0.2">
      <c r="H31" s="92"/>
      <c r="I31" s="86" t="s">
        <v>15</v>
      </c>
      <c r="J31" s="27">
        <f>J23+J27</f>
        <v>15</v>
      </c>
      <c r="K31" s="37">
        <v>10000</v>
      </c>
      <c r="L31" s="28">
        <f t="shared" si="2"/>
        <v>750000</v>
      </c>
      <c r="M31" s="99">
        <f>AVERAGE(L31:L34)</f>
        <v>1312500</v>
      </c>
      <c r="N31" s="102">
        <f>LOG10(M31)</f>
        <v>6.1180993120779945</v>
      </c>
      <c r="O31" s="104">
        <f>M23/M27</f>
        <v>0.59090909090909094</v>
      </c>
    </row>
    <row r="32" spans="8:17" x14ac:dyDescent="0.2">
      <c r="H32" s="93"/>
      <c r="I32" s="98"/>
      <c r="J32" s="27">
        <f>J24+J28</f>
        <v>25</v>
      </c>
      <c r="K32" s="38">
        <v>10000</v>
      </c>
      <c r="L32" s="28">
        <f t="shared" si="2"/>
        <v>1250000</v>
      </c>
      <c r="M32" s="100"/>
      <c r="N32" s="103"/>
      <c r="O32" s="105"/>
    </row>
    <row r="33" spans="8:16" x14ac:dyDescent="0.2">
      <c r="H33" s="93"/>
      <c r="I33" s="98"/>
      <c r="J33" s="27">
        <f>J25+J29</f>
        <v>25</v>
      </c>
      <c r="K33" s="38">
        <v>10000</v>
      </c>
      <c r="L33" s="28">
        <f t="shared" ref="L33" si="5">J33*5*K33</f>
        <v>1250000</v>
      </c>
      <c r="M33" s="100"/>
      <c r="N33" s="103"/>
      <c r="O33" s="105"/>
    </row>
    <row r="34" spans="8:16" ht="17" thickBot="1" x14ac:dyDescent="0.25">
      <c r="H34" s="93"/>
      <c r="I34" s="98"/>
      <c r="J34" s="36">
        <f>J26+J30</f>
        <v>40</v>
      </c>
      <c r="K34" s="38">
        <v>10000</v>
      </c>
      <c r="L34" s="29">
        <f t="shared" si="2"/>
        <v>2000000</v>
      </c>
      <c r="M34" s="101"/>
      <c r="N34" s="103"/>
      <c r="O34" s="106"/>
    </row>
    <row r="35" spans="8:16" ht="31" customHeight="1" thickBot="1" x14ac:dyDescent="0.25">
      <c r="H35" s="84" t="s">
        <v>32</v>
      </c>
      <c r="I35" s="85"/>
      <c r="J35" s="75">
        <v>28</v>
      </c>
      <c r="K35" s="72">
        <v>10000</v>
      </c>
      <c r="L35" s="72">
        <f t="shared" si="2"/>
        <v>1400000</v>
      </c>
      <c r="M35" s="72">
        <f>AVERAGE(L35:L35)</f>
        <v>1400000</v>
      </c>
      <c r="N35" s="67">
        <f>LOG10(M35)</f>
        <v>6.1461280356782382</v>
      </c>
      <c r="O35" s="74"/>
      <c r="P35" s="18"/>
    </row>
    <row r="41" spans="8:16" ht="17" thickBot="1" x14ac:dyDescent="0.25">
      <c r="J41" s="49" t="s">
        <v>7</v>
      </c>
      <c r="K41" s="48" t="s">
        <v>16</v>
      </c>
    </row>
    <row r="42" spans="8:16" ht="60" customHeight="1" x14ac:dyDescent="0.2">
      <c r="H42" s="81" t="str">
        <f>H2</f>
        <v>BL048delant2 vs BL054 LacZ</v>
      </c>
      <c r="I42" s="42" t="str">
        <f>I2</f>
        <v>BL048delant2 - VBMXgal80 plates (white)</v>
      </c>
      <c r="J42" s="50">
        <f>N2</f>
        <v>5.2430380486862944</v>
      </c>
      <c r="K42" s="77"/>
    </row>
    <row r="43" spans="8:16" ht="60" customHeight="1" thickBot="1" x14ac:dyDescent="0.25">
      <c r="H43" s="82"/>
      <c r="I43" s="43" t="str">
        <f>I6</f>
        <v>BL054LacZ - VBMXgal80 plates (blue)</v>
      </c>
      <c r="J43" s="51">
        <f>N6</f>
        <v>5.8129133566428557</v>
      </c>
      <c r="K43" s="78"/>
    </row>
    <row r="44" spans="8:16" ht="17" thickBot="1" x14ac:dyDescent="0.25">
      <c r="H44" s="83"/>
      <c r="I44" s="45" t="s">
        <v>15</v>
      </c>
      <c r="J44" s="52">
        <f>N10</f>
        <v>5.9229848157088831</v>
      </c>
      <c r="K44" s="67">
        <f>O10</f>
        <v>0.26923076923076922</v>
      </c>
    </row>
    <row r="45" spans="8:16" ht="60" customHeight="1" x14ac:dyDescent="0.2">
      <c r="H45" s="81" t="str">
        <f>H14</f>
        <v>BL049 vs BL048LacZ</v>
      </c>
      <c r="I45" s="44" t="str">
        <f>I14</f>
        <v>BL049 - VBMXgal80 plates (white)</v>
      </c>
      <c r="J45" s="53">
        <f>N14</f>
        <v>5.7533276666586115</v>
      </c>
      <c r="K45" s="78"/>
    </row>
    <row r="46" spans="8:16" ht="52" thickBot="1" x14ac:dyDescent="0.25">
      <c r="H46" s="82"/>
      <c r="I46" s="43" t="str">
        <f>I17</f>
        <v>BL048LacZ - VBMXgal80 plates (blue)</v>
      </c>
      <c r="J46" s="51">
        <f>N17</f>
        <v>5.5642714304385628</v>
      </c>
      <c r="K46" s="78"/>
    </row>
    <row r="47" spans="8:16" ht="18" thickBot="1" x14ac:dyDescent="0.25">
      <c r="H47" s="83"/>
      <c r="I47" s="46" t="s">
        <v>15</v>
      </c>
      <c r="J47" s="52">
        <f>N20</f>
        <v>5.9700367766225568</v>
      </c>
      <c r="K47" s="47">
        <f>O20</f>
        <v>1.5454545454545452</v>
      </c>
    </row>
    <row r="48" spans="8:16" ht="34" x14ac:dyDescent="0.2">
      <c r="H48" s="81" t="str">
        <f>H23</f>
        <v>BL049 vs BL054LacZ</v>
      </c>
      <c r="I48" s="55" t="str">
        <f>I23</f>
        <v>BL049 - VBMXgal80 plates (white)</v>
      </c>
      <c r="J48" s="57">
        <f>N23</f>
        <v>5.6879746200345558</v>
      </c>
      <c r="K48" s="79"/>
    </row>
    <row r="49" spans="8:11" ht="52" thickBot="1" x14ac:dyDescent="0.25">
      <c r="H49" s="82"/>
      <c r="I49" s="54" t="str">
        <f>I27</f>
        <v>BL054LacZ - VBMXgal80 plates (blue)</v>
      </c>
      <c r="J49" s="56">
        <f>N27</f>
        <v>5.9164539485499255</v>
      </c>
      <c r="K49" s="79"/>
    </row>
    <row r="50" spans="8:11" ht="17" thickBot="1" x14ac:dyDescent="0.25">
      <c r="H50" s="83"/>
      <c r="I50" s="58" t="s">
        <v>15</v>
      </c>
      <c r="J50" s="52">
        <f>N31</f>
        <v>6.1180993120779945</v>
      </c>
      <c r="K50" s="80">
        <f>O31</f>
        <v>0.59090909090909094</v>
      </c>
    </row>
    <row r="51" spans="8:11" ht="34" customHeight="1" thickBot="1" x14ac:dyDescent="0.25">
      <c r="H51" s="73" t="str">
        <f>H35</f>
        <v>BL054</v>
      </c>
      <c r="I51" s="58" t="s">
        <v>15</v>
      </c>
      <c r="J51" s="69">
        <f>N35</f>
        <v>6.1461280356782382</v>
      </c>
      <c r="K51" s="76"/>
    </row>
  </sheetData>
  <mergeCells count="43">
    <mergeCell ref="H2:H13"/>
    <mergeCell ref="H14:H22"/>
    <mergeCell ref="I20:I22"/>
    <mergeCell ref="M10:M13"/>
    <mergeCell ref="I6:I9"/>
    <mergeCell ref="I14:I16"/>
    <mergeCell ref="M14:M16"/>
    <mergeCell ref="I17:I19"/>
    <mergeCell ref="M17:M19"/>
    <mergeCell ref="I10:I13"/>
    <mergeCell ref="M20:M22"/>
    <mergeCell ref="I2:I5"/>
    <mergeCell ref="M2:M5"/>
    <mergeCell ref="N2:N5"/>
    <mergeCell ref="M6:M9"/>
    <mergeCell ref="N6:N9"/>
    <mergeCell ref="O20:O22"/>
    <mergeCell ref="Q14:Q16"/>
    <mergeCell ref="N14:N16"/>
    <mergeCell ref="Q17:Q19"/>
    <mergeCell ref="Q2:Q5"/>
    <mergeCell ref="Q6:Q9"/>
    <mergeCell ref="O10:O13"/>
    <mergeCell ref="N10:N13"/>
    <mergeCell ref="N17:N19"/>
    <mergeCell ref="N20:N22"/>
    <mergeCell ref="M27:M30"/>
    <mergeCell ref="N27:N30"/>
    <mergeCell ref="Q27:Q30"/>
    <mergeCell ref="H23:H34"/>
    <mergeCell ref="I23:I26"/>
    <mergeCell ref="M23:M26"/>
    <mergeCell ref="N23:N26"/>
    <mergeCell ref="I31:I34"/>
    <mergeCell ref="M31:M34"/>
    <mergeCell ref="N31:N34"/>
    <mergeCell ref="O31:O34"/>
    <mergeCell ref="Q23:Q26"/>
    <mergeCell ref="H48:H50"/>
    <mergeCell ref="H42:H44"/>
    <mergeCell ref="H45:H47"/>
    <mergeCell ref="H35:I35"/>
    <mergeCell ref="I27:I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M321"/>
  <sheetViews>
    <sheetView topLeftCell="A106" zoomScale="96" zoomScaleNormal="100" workbookViewId="0">
      <selection activeCell="G139" sqref="G139"/>
    </sheetView>
  </sheetViews>
  <sheetFormatPr baseColWidth="10" defaultRowHeight="16" x14ac:dyDescent="0.2"/>
  <cols>
    <col min="1" max="1" width="21.1640625" customWidth="1"/>
    <col min="8" max="10" width="10.83203125" style="3"/>
    <col min="13" max="13" width="15.5" style="60" customWidth="1"/>
  </cols>
  <sheetData>
    <row r="1" spans="1:13" ht="51" x14ac:dyDescent="0.2">
      <c r="A1" s="2" t="s">
        <v>39</v>
      </c>
      <c r="B1" s="131" t="s">
        <v>30</v>
      </c>
      <c r="C1" s="131"/>
      <c r="D1" s="5" t="s">
        <v>0</v>
      </c>
      <c r="E1" s="5" t="s">
        <v>3</v>
      </c>
      <c r="F1" s="5" t="s">
        <v>1</v>
      </c>
      <c r="G1" s="8" t="s">
        <v>2</v>
      </c>
      <c r="H1" s="130" t="s">
        <v>44</v>
      </c>
      <c r="I1" s="130"/>
      <c r="J1" s="40" t="s">
        <v>20</v>
      </c>
      <c r="K1" s="5" t="s">
        <v>27</v>
      </c>
      <c r="L1" s="5" t="s">
        <v>28</v>
      </c>
      <c r="M1" s="59" t="s">
        <v>17</v>
      </c>
    </row>
    <row r="2" spans="1:13" x14ac:dyDescent="0.2">
      <c r="A2" s="4" t="s">
        <v>10</v>
      </c>
      <c r="B2">
        <v>17</v>
      </c>
      <c r="C2">
        <v>18</v>
      </c>
      <c r="D2">
        <f>AVERAGE(B2:C2)</f>
        <v>17.5</v>
      </c>
      <c r="E2" s="4">
        <v>100</v>
      </c>
      <c r="F2" s="4">
        <f>1869-1859.7</f>
        <v>9.2999999999999545</v>
      </c>
      <c r="G2" s="9">
        <f>LOG10(D2*100*E2/F2*1000)</f>
        <v>7.2745551001323614</v>
      </c>
      <c r="H2" s="3">
        <v>24</v>
      </c>
      <c r="I2" s="3">
        <v>28</v>
      </c>
      <c r="J2" s="3">
        <v>1000</v>
      </c>
      <c r="K2" s="3">
        <f>AVERAGE(H2:I2)</f>
        <v>26</v>
      </c>
      <c r="L2">
        <f>(J2*K2)/(D2*E2)</f>
        <v>14.857142857142858</v>
      </c>
      <c r="M2" s="60">
        <f>L2/dose!$O$10</f>
        <v>55.183673469387763</v>
      </c>
    </row>
    <row r="3" spans="1:13" x14ac:dyDescent="0.2">
      <c r="A3" s="4" t="s">
        <v>11</v>
      </c>
      <c r="B3">
        <v>36</v>
      </c>
      <c r="C3">
        <v>22</v>
      </c>
      <c r="D3">
        <f t="shared" ref="D3:D6" si="0">AVERAGE(B3:C3)</f>
        <v>29</v>
      </c>
      <c r="E3" s="4">
        <v>1000</v>
      </c>
      <c r="F3" s="4">
        <f>1750.7-1726.5</f>
        <v>24.200000000000045</v>
      </c>
      <c r="G3" s="9">
        <f>LOG10(D3*100*E3/F3*1000)</f>
        <v>8.0785826319185237</v>
      </c>
      <c r="H3" s="3">
        <v>62</v>
      </c>
      <c r="I3" s="3">
        <v>66</v>
      </c>
      <c r="J3" s="3">
        <v>1000</v>
      </c>
      <c r="K3" s="3">
        <f t="shared" ref="K3:K6" si="1">AVERAGE(H3:I3)</f>
        <v>64</v>
      </c>
      <c r="L3">
        <f>(J3*K3)/(D3*E3)</f>
        <v>2.2068965517241379</v>
      </c>
      <c r="M3" s="60">
        <f>L3/dose!$O$10</f>
        <v>8.1970443349753701</v>
      </c>
    </row>
    <row r="4" spans="1:13" x14ac:dyDescent="0.2">
      <c r="A4" s="4" t="s">
        <v>8</v>
      </c>
      <c r="B4">
        <v>53</v>
      </c>
      <c r="C4">
        <v>54</v>
      </c>
      <c r="D4">
        <f t="shared" si="0"/>
        <v>53.5</v>
      </c>
      <c r="E4" s="4">
        <v>1000</v>
      </c>
      <c r="F4" s="4">
        <f>1745.8-1718.5</f>
        <v>27.299999999999955</v>
      </c>
      <c r="G4" s="9">
        <f t="shared" ref="G4:G6" si="2">LOG10(D4*100*E4/F4*1000)</f>
        <v>8.2921911349804738</v>
      </c>
      <c r="H4" s="3">
        <v>30</v>
      </c>
      <c r="I4" s="3">
        <v>27</v>
      </c>
      <c r="J4" s="3">
        <v>1000</v>
      </c>
      <c r="K4" s="3">
        <f t="shared" si="1"/>
        <v>28.5</v>
      </c>
      <c r="L4">
        <f t="shared" ref="L4:L6" si="3">(J4*K4)/(D4*E4)</f>
        <v>0.53271028037383172</v>
      </c>
      <c r="M4" s="60">
        <f>L4/dose!$O$10</f>
        <v>1.9786381842456608</v>
      </c>
    </row>
    <row r="5" spans="1:13" x14ac:dyDescent="0.2">
      <c r="A5" s="4" t="s">
        <v>13</v>
      </c>
      <c r="B5">
        <v>29</v>
      </c>
      <c r="C5">
        <v>40</v>
      </c>
      <c r="D5">
        <f t="shared" si="0"/>
        <v>34.5</v>
      </c>
      <c r="E5" s="4">
        <v>10000</v>
      </c>
      <c r="F5" s="4">
        <f>1835-1735.5</f>
        <v>99.5</v>
      </c>
      <c r="G5" s="9">
        <f t="shared" si="2"/>
        <v>8.5399960143275493</v>
      </c>
      <c r="H5" s="3">
        <v>14</v>
      </c>
      <c r="I5" s="3">
        <v>12</v>
      </c>
      <c r="J5" s="3">
        <v>1000</v>
      </c>
      <c r="K5" s="3">
        <f t="shared" si="1"/>
        <v>13</v>
      </c>
      <c r="L5">
        <f t="shared" si="3"/>
        <v>3.7681159420289857E-2</v>
      </c>
      <c r="M5" s="60">
        <f>L5/dose!$O$10</f>
        <v>0.13995859213250519</v>
      </c>
    </row>
    <row r="6" spans="1:13" ht="16" customHeight="1" x14ac:dyDescent="0.2">
      <c r="A6" s="5" t="s">
        <v>12</v>
      </c>
      <c r="B6" s="7">
        <v>16</v>
      </c>
      <c r="C6" s="7">
        <v>15</v>
      </c>
      <c r="D6">
        <f t="shared" si="0"/>
        <v>15.5</v>
      </c>
      <c r="E6" s="5">
        <v>10000</v>
      </c>
      <c r="F6" s="5">
        <f>1888.7-1797</f>
        <v>91.700000000000045</v>
      </c>
      <c r="G6" s="9">
        <f t="shared" si="2"/>
        <v>8.2279623625002696</v>
      </c>
      <c r="H6" s="3">
        <v>1</v>
      </c>
      <c r="I6" s="3">
        <v>3</v>
      </c>
      <c r="J6" s="3">
        <v>10000</v>
      </c>
      <c r="K6" s="3">
        <f t="shared" si="1"/>
        <v>2</v>
      </c>
      <c r="L6">
        <f t="shared" si="3"/>
        <v>0.12903225806451613</v>
      </c>
      <c r="M6" s="60">
        <f>L6/dose!$O$10</f>
        <v>0.47926267281105994</v>
      </c>
    </row>
    <row r="7" spans="1:13" x14ac:dyDescent="0.2">
      <c r="A7" s="4"/>
      <c r="E7" s="4"/>
      <c r="F7" s="4"/>
      <c r="G7" s="9"/>
    </row>
    <row r="8" spans="1:13" ht="51" customHeight="1" x14ac:dyDescent="0.2">
      <c r="A8" s="2" t="s">
        <v>40</v>
      </c>
      <c r="B8" s="131" t="s">
        <v>30</v>
      </c>
      <c r="C8" s="131"/>
      <c r="D8" s="5" t="s">
        <v>0</v>
      </c>
      <c r="E8" s="5" t="s">
        <v>3</v>
      </c>
      <c r="F8" s="5" t="s">
        <v>1</v>
      </c>
      <c r="G8" s="8" t="s">
        <v>2</v>
      </c>
      <c r="H8" s="130" t="s">
        <v>44</v>
      </c>
      <c r="I8" s="130"/>
      <c r="J8" s="40" t="s">
        <v>20</v>
      </c>
      <c r="K8" s="5" t="s">
        <v>27</v>
      </c>
      <c r="L8" s="5" t="s">
        <v>28</v>
      </c>
      <c r="M8" s="59" t="s">
        <v>17</v>
      </c>
    </row>
    <row r="9" spans="1:13" x14ac:dyDescent="0.2">
      <c r="A9" s="4" t="s">
        <v>10</v>
      </c>
      <c r="B9">
        <v>24</v>
      </c>
      <c r="C9">
        <v>27</v>
      </c>
      <c r="D9">
        <f>AVERAGE(B9:C9)</f>
        <v>25.5</v>
      </c>
      <c r="E9" s="4">
        <v>1</v>
      </c>
      <c r="F9" s="4">
        <f>1807.5-1786.5</f>
        <v>21</v>
      </c>
      <c r="G9" s="9">
        <f>LOG10(D9*100*E9/F9*1000)</f>
        <v>5.0843208857000359</v>
      </c>
      <c r="H9" s="3">
        <v>40</v>
      </c>
      <c r="I9" s="3">
        <v>40</v>
      </c>
      <c r="J9" s="3">
        <v>1000</v>
      </c>
      <c r="K9" s="3">
        <f>AVERAGE(H9:I9)</f>
        <v>40</v>
      </c>
      <c r="L9">
        <f>(J9*K9)/(D9*E9)</f>
        <v>1568.6274509803923</v>
      </c>
      <c r="M9" s="60">
        <f>L9/dose!$O$10</f>
        <v>5826.3305322128863</v>
      </c>
    </row>
    <row r="10" spans="1:13" x14ac:dyDescent="0.2">
      <c r="A10" s="4" t="s">
        <v>11</v>
      </c>
      <c r="B10">
        <v>16</v>
      </c>
      <c r="C10">
        <v>13</v>
      </c>
      <c r="D10">
        <f t="shared" ref="D10:D13" si="4">AVERAGE(B10:C10)</f>
        <v>14.5</v>
      </c>
      <c r="E10" s="4">
        <v>1</v>
      </c>
      <c r="F10" s="4">
        <f>1737.9-1717.6</f>
        <v>20.300000000000182</v>
      </c>
      <c r="G10" s="9">
        <f>LOG10(D10*100*E10/F10*1000)</f>
        <v>4.8538719643217583</v>
      </c>
      <c r="H10" s="3">
        <v>41</v>
      </c>
      <c r="I10" s="3">
        <v>34</v>
      </c>
      <c r="J10" s="3">
        <v>10000</v>
      </c>
      <c r="K10" s="3">
        <f t="shared" ref="K10:K13" si="5">AVERAGE(H10:I10)</f>
        <v>37.5</v>
      </c>
      <c r="L10">
        <f t="shared" ref="L10:L13" si="6">(J10*K10)/(D10*E10)</f>
        <v>25862.068965517243</v>
      </c>
      <c r="M10" s="60">
        <f>L10/dose!$O$10</f>
        <v>96059.113300492623</v>
      </c>
    </row>
    <row r="11" spans="1:13" x14ac:dyDescent="0.2">
      <c r="A11" s="4" t="s">
        <v>8</v>
      </c>
      <c r="B11">
        <v>13</v>
      </c>
      <c r="C11">
        <v>16</v>
      </c>
      <c r="D11">
        <f t="shared" si="4"/>
        <v>14.5</v>
      </c>
      <c r="E11" s="4">
        <v>1</v>
      </c>
      <c r="F11" s="4">
        <f>1749.2-1721.7</f>
        <v>27.5</v>
      </c>
      <c r="G11" s="9">
        <f t="shared" ref="G11:G13" si="7">LOG10(D11*100*E11/F11*1000)</f>
        <v>4.7220353084047124</v>
      </c>
      <c r="H11" s="3">
        <v>57</v>
      </c>
      <c r="I11" s="3">
        <v>51</v>
      </c>
      <c r="J11" s="3">
        <v>1000</v>
      </c>
      <c r="K11" s="3">
        <f t="shared" si="5"/>
        <v>54</v>
      </c>
      <c r="L11">
        <f t="shared" si="6"/>
        <v>3724.1379310344828</v>
      </c>
      <c r="M11" s="60">
        <f>L11/dose!$O$10</f>
        <v>13832.512315270937</v>
      </c>
    </row>
    <row r="12" spans="1:13" x14ac:dyDescent="0.2">
      <c r="A12" s="4" t="s">
        <v>13</v>
      </c>
      <c r="B12">
        <v>6</v>
      </c>
      <c r="C12">
        <v>15</v>
      </c>
      <c r="D12">
        <f t="shared" si="4"/>
        <v>10.5</v>
      </c>
      <c r="E12" s="4">
        <v>100</v>
      </c>
      <c r="F12" s="4">
        <f>1825-1724.8</f>
        <v>100.20000000000005</v>
      </c>
      <c r="G12" s="9">
        <f t="shared" si="7"/>
        <v>6.0203215775387111</v>
      </c>
      <c r="H12" s="3">
        <v>32</v>
      </c>
      <c r="I12" s="3">
        <v>32</v>
      </c>
      <c r="J12" s="3">
        <v>100</v>
      </c>
      <c r="K12" s="3">
        <f t="shared" si="5"/>
        <v>32</v>
      </c>
      <c r="L12">
        <f t="shared" si="6"/>
        <v>3.0476190476190474</v>
      </c>
      <c r="M12" s="60">
        <f>L12/dose!$O$10</f>
        <v>11.319727891156463</v>
      </c>
    </row>
    <row r="13" spans="1:13" ht="17" x14ac:dyDescent="0.2">
      <c r="A13" s="5" t="s">
        <v>12</v>
      </c>
      <c r="B13" s="7">
        <v>6</v>
      </c>
      <c r="C13" s="7">
        <v>10</v>
      </c>
      <c r="D13">
        <f t="shared" si="4"/>
        <v>8</v>
      </c>
      <c r="E13" s="5">
        <v>100</v>
      </c>
      <c r="F13" s="5">
        <f>1882.3-1726.6</f>
        <v>155.70000000000005</v>
      </c>
      <c r="G13" s="9">
        <f t="shared" si="7"/>
        <v>5.7108013744238235</v>
      </c>
      <c r="H13" s="3">
        <v>50</v>
      </c>
      <c r="I13" s="3">
        <v>40</v>
      </c>
      <c r="J13" s="3">
        <v>100</v>
      </c>
      <c r="K13" s="3">
        <f t="shared" si="5"/>
        <v>45</v>
      </c>
      <c r="L13">
        <f t="shared" si="6"/>
        <v>5.625</v>
      </c>
      <c r="M13" s="60">
        <f>L13/dose!$O$10</f>
        <v>20.892857142857142</v>
      </c>
    </row>
    <row r="14" spans="1:13" x14ac:dyDescent="0.2">
      <c r="A14" s="4"/>
      <c r="E14" s="4"/>
      <c r="F14" s="4"/>
      <c r="G14" s="9"/>
    </row>
    <row r="15" spans="1:13" ht="51" customHeight="1" x14ac:dyDescent="0.2">
      <c r="A15" s="2" t="s">
        <v>41</v>
      </c>
      <c r="B15" s="131" t="s">
        <v>30</v>
      </c>
      <c r="C15" s="131"/>
      <c r="D15" s="5" t="s">
        <v>0</v>
      </c>
      <c r="E15" s="5" t="s">
        <v>3</v>
      </c>
      <c r="F15" s="5" t="s">
        <v>1</v>
      </c>
      <c r="G15" s="8" t="s">
        <v>2</v>
      </c>
      <c r="H15" s="130" t="s">
        <v>44</v>
      </c>
      <c r="I15" s="130"/>
      <c r="J15" s="40" t="s">
        <v>20</v>
      </c>
      <c r="K15" s="5" t="s">
        <v>27</v>
      </c>
      <c r="L15" s="5" t="s">
        <v>28</v>
      </c>
      <c r="M15" s="59" t="s">
        <v>17</v>
      </c>
    </row>
    <row r="16" spans="1:13" x14ac:dyDescent="0.2">
      <c r="A16" s="4" t="s">
        <v>10</v>
      </c>
      <c r="B16">
        <v>0</v>
      </c>
      <c r="C16">
        <v>0</v>
      </c>
      <c r="D16">
        <f>AVERAGE(B16:C16)</f>
        <v>0</v>
      </c>
      <c r="E16" s="4">
        <v>1</v>
      </c>
      <c r="F16" s="4">
        <f>1747.3-1714.8</f>
        <v>32.5</v>
      </c>
      <c r="G16" s="9" t="e">
        <f>LOG10(D16*100*E16/F16*1000)</f>
        <v>#NUM!</v>
      </c>
      <c r="H16" s="3">
        <v>51</v>
      </c>
      <c r="I16" s="3">
        <v>58</v>
      </c>
      <c r="J16" s="3">
        <v>1000</v>
      </c>
      <c r="K16" s="3">
        <f>AVERAGE(H16:I16)</f>
        <v>54.5</v>
      </c>
      <c r="L16" t="e">
        <f>(J16*K16)/(D16*E16)</f>
        <v>#DIV/0!</v>
      </c>
      <c r="M16" s="60" t="e">
        <f>L16/dose!$O$10</f>
        <v>#DIV/0!</v>
      </c>
    </row>
    <row r="17" spans="1:13" x14ac:dyDescent="0.2">
      <c r="A17" s="4" t="s">
        <v>11</v>
      </c>
      <c r="B17">
        <v>1</v>
      </c>
      <c r="C17">
        <v>1</v>
      </c>
      <c r="D17">
        <f t="shared" ref="D17:D20" si="8">AVERAGE(B17:C17)</f>
        <v>1</v>
      </c>
      <c r="E17" s="4">
        <v>1</v>
      </c>
      <c r="F17" s="4">
        <f>1837.4-1785.4</f>
        <v>52</v>
      </c>
      <c r="G17" s="9">
        <f>LOG10(D17*100*E17/F17*1000)</f>
        <v>3.283996656365201</v>
      </c>
      <c r="H17" s="3">
        <v>35</v>
      </c>
      <c r="I17" s="3">
        <v>32</v>
      </c>
      <c r="J17" s="3">
        <v>10000</v>
      </c>
      <c r="K17" s="3">
        <f t="shared" ref="K17:K20" si="9">AVERAGE(H17:I17)</f>
        <v>33.5</v>
      </c>
      <c r="L17">
        <f t="shared" ref="L17:L20" si="10">(J17*K17)/(D17*E17)</f>
        <v>335000</v>
      </c>
      <c r="M17" s="60">
        <f>L17/dose!$O$10</f>
        <v>1244285.7142857143</v>
      </c>
    </row>
    <row r="18" spans="1:13" x14ac:dyDescent="0.2">
      <c r="A18" s="4" t="s">
        <v>8</v>
      </c>
      <c r="B18">
        <v>0</v>
      </c>
      <c r="C18">
        <v>0</v>
      </c>
      <c r="D18">
        <f t="shared" si="8"/>
        <v>0</v>
      </c>
      <c r="E18" s="4">
        <v>1</v>
      </c>
      <c r="F18" s="4">
        <f>1734.2-1708.2</f>
        <v>26</v>
      </c>
      <c r="G18" s="9" t="e">
        <f t="shared" ref="G18:G20" si="11">LOG10(D18*100*E18/F18*1000)</f>
        <v>#NUM!</v>
      </c>
      <c r="H18" s="3">
        <v>56</v>
      </c>
      <c r="I18" s="3">
        <v>66</v>
      </c>
      <c r="J18" s="3">
        <v>1000</v>
      </c>
      <c r="K18" s="3">
        <f t="shared" si="9"/>
        <v>61</v>
      </c>
      <c r="L18" t="e">
        <f t="shared" si="10"/>
        <v>#DIV/0!</v>
      </c>
      <c r="M18" s="60" t="e">
        <f>L18/dose!$O$10</f>
        <v>#DIV/0!</v>
      </c>
    </row>
    <row r="19" spans="1:13" x14ac:dyDescent="0.2">
      <c r="A19" s="4" t="s">
        <v>13</v>
      </c>
      <c r="B19">
        <v>9</v>
      </c>
      <c r="C19">
        <v>5</v>
      </c>
      <c r="D19">
        <f t="shared" si="8"/>
        <v>7</v>
      </c>
      <c r="E19" s="4">
        <v>1000</v>
      </c>
      <c r="F19" s="4">
        <f>1775.9-1672.1</f>
        <v>103.80000000000018</v>
      </c>
      <c r="G19" s="9">
        <f t="shared" si="11"/>
        <v>6.8289006865018171</v>
      </c>
      <c r="H19" s="3">
        <v>47</v>
      </c>
      <c r="I19" s="3">
        <v>46</v>
      </c>
      <c r="J19" s="3">
        <v>1000</v>
      </c>
      <c r="K19" s="3">
        <f t="shared" si="9"/>
        <v>46.5</v>
      </c>
      <c r="L19">
        <f t="shared" si="10"/>
        <v>6.6428571428571432</v>
      </c>
      <c r="M19" s="60">
        <f>L19/dose!$O$10</f>
        <v>24.673469387755105</v>
      </c>
    </row>
    <row r="20" spans="1:13" ht="17" x14ac:dyDescent="0.2">
      <c r="A20" s="5" t="s">
        <v>12</v>
      </c>
      <c r="B20" s="7">
        <v>8</v>
      </c>
      <c r="C20" s="7">
        <v>4</v>
      </c>
      <c r="D20">
        <f t="shared" si="8"/>
        <v>6</v>
      </c>
      <c r="E20" s="5">
        <v>100</v>
      </c>
      <c r="F20" s="5">
        <f>1911.1-1814.4</f>
        <v>96.699999999999818</v>
      </c>
      <c r="G20" s="9">
        <f t="shared" si="11"/>
        <v>5.7927247763006431</v>
      </c>
      <c r="H20" s="3">
        <v>3</v>
      </c>
      <c r="I20" s="3">
        <v>5</v>
      </c>
      <c r="J20" s="3">
        <v>100</v>
      </c>
      <c r="K20" s="3">
        <f t="shared" si="9"/>
        <v>4</v>
      </c>
      <c r="L20">
        <f t="shared" si="10"/>
        <v>0.66666666666666663</v>
      </c>
      <c r="M20" s="60">
        <f>L20/dose!$O$10</f>
        <v>2.4761904761904763</v>
      </c>
    </row>
    <row r="21" spans="1:13" x14ac:dyDescent="0.2">
      <c r="A21" s="4"/>
      <c r="E21" s="4"/>
      <c r="F21" s="4"/>
      <c r="G21" s="9"/>
    </row>
    <row r="22" spans="1:13" ht="51" customHeight="1" x14ac:dyDescent="0.2">
      <c r="A22" s="2" t="s">
        <v>42</v>
      </c>
      <c r="B22" s="131" t="s">
        <v>30</v>
      </c>
      <c r="C22" s="131"/>
      <c r="D22" s="5" t="s">
        <v>0</v>
      </c>
      <c r="E22" s="5" t="s">
        <v>3</v>
      </c>
      <c r="F22" s="5" t="s">
        <v>1</v>
      </c>
      <c r="G22" s="8" t="s">
        <v>2</v>
      </c>
      <c r="H22" s="130" t="s">
        <v>44</v>
      </c>
      <c r="I22" s="130"/>
      <c r="J22" s="40" t="s">
        <v>20</v>
      </c>
      <c r="K22" s="5" t="s">
        <v>27</v>
      </c>
      <c r="L22" s="5" t="s">
        <v>28</v>
      </c>
      <c r="M22" s="59" t="s">
        <v>17</v>
      </c>
    </row>
    <row r="23" spans="1:13" x14ac:dyDescent="0.2">
      <c r="A23" s="4" t="s">
        <v>10</v>
      </c>
      <c r="B23">
        <v>77</v>
      </c>
      <c r="C23">
        <v>83</v>
      </c>
      <c r="D23">
        <f>AVERAGE(B23:C23)</f>
        <v>80</v>
      </c>
      <c r="E23" s="4">
        <v>1000</v>
      </c>
      <c r="F23" s="4">
        <f>1726.9-1705.5</f>
        <v>21.400000000000091</v>
      </c>
      <c r="G23" s="9">
        <f>LOG10(D23*100*E23/F23*1000)</f>
        <v>8.572676213642751</v>
      </c>
      <c r="H23" s="3">
        <v>29</v>
      </c>
      <c r="I23" s="3">
        <v>21</v>
      </c>
      <c r="J23" s="3">
        <v>1000</v>
      </c>
      <c r="K23" s="3">
        <f>AVERAGE(H23:I23)</f>
        <v>25</v>
      </c>
      <c r="L23">
        <f>(J23*K23)/(D23*E23)</f>
        <v>0.3125</v>
      </c>
      <c r="M23" s="60">
        <f>L23/dose!$O$10</f>
        <v>1.1607142857142858</v>
      </c>
    </row>
    <row r="24" spans="1:13" ht="16" customHeight="1" x14ac:dyDescent="0.2">
      <c r="A24" s="4" t="s">
        <v>11</v>
      </c>
      <c r="B24">
        <v>22</v>
      </c>
      <c r="C24">
        <v>11</v>
      </c>
      <c r="D24">
        <f t="shared" ref="D24:D27" si="12">AVERAGE(B24:C24)</f>
        <v>16.5</v>
      </c>
      <c r="E24" s="4">
        <v>10000</v>
      </c>
      <c r="F24" s="4">
        <f>1748.9-1729.7</f>
        <v>19.200000000000045</v>
      </c>
      <c r="G24" s="9">
        <f>LOG10(D24*100*E24/F24*1000)</f>
        <v>8.9341827155103548</v>
      </c>
      <c r="H24" s="3">
        <v>15</v>
      </c>
      <c r="I24" s="3">
        <v>19</v>
      </c>
      <c r="J24" s="3">
        <v>1000</v>
      </c>
      <c r="K24" s="3">
        <f t="shared" ref="K24:K27" si="13">AVERAGE(H24:I24)</f>
        <v>17</v>
      </c>
      <c r="L24">
        <f t="shared" ref="L24:L27" si="14">(J24*K24)/(D24*E24)</f>
        <v>0.10303030303030303</v>
      </c>
      <c r="M24" s="60">
        <f>L24/dose!$O$10</f>
        <v>0.38268398268398268</v>
      </c>
    </row>
    <row r="25" spans="1:13" ht="16" customHeight="1" x14ac:dyDescent="0.2">
      <c r="A25" s="4" t="s">
        <v>8</v>
      </c>
      <c r="B25">
        <v>25</v>
      </c>
      <c r="C25">
        <v>21</v>
      </c>
      <c r="D25">
        <f t="shared" si="12"/>
        <v>23</v>
      </c>
      <c r="E25" s="4">
        <v>10000</v>
      </c>
      <c r="F25" s="4">
        <f>1826.6-1792</f>
        <v>34.599999999999909</v>
      </c>
      <c r="G25" s="9">
        <f t="shared" ref="G25:G27" si="15">LOG10(D25*100*E25/F25*1000)</f>
        <v>8.8226517372248168</v>
      </c>
      <c r="H25" s="3">
        <v>0</v>
      </c>
      <c r="I25" s="3">
        <v>3</v>
      </c>
      <c r="J25" s="3">
        <v>1000</v>
      </c>
      <c r="K25" s="3">
        <f t="shared" si="13"/>
        <v>1.5</v>
      </c>
      <c r="L25">
        <f t="shared" si="14"/>
        <v>6.5217391304347823E-3</v>
      </c>
      <c r="M25" s="60">
        <f>L25/dose!$O$10</f>
        <v>2.422360248447205E-2</v>
      </c>
    </row>
    <row r="26" spans="1:13" x14ac:dyDescent="0.2">
      <c r="A26" s="4" t="s">
        <v>13</v>
      </c>
      <c r="B26">
        <v>18</v>
      </c>
      <c r="C26">
        <v>18</v>
      </c>
      <c r="D26">
        <f t="shared" si="12"/>
        <v>18</v>
      </c>
      <c r="E26" s="4">
        <v>10000</v>
      </c>
      <c r="F26" s="4">
        <f>1808.1-1724.6</f>
        <v>83.5</v>
      </c>
      <c r="G26" s="9">
        <f t="shared" si="15"/>
        <v>8.3335860296197044</v>
      </c>
      <c r="H26" s="3">
        <v>1</v>
      </c>
      <c r="I26" s="3">
        <v>1</v>
      </c>
      <c r="J26" s="3">
        <v>1000</v>
      </c>
      <c r="K26" s="3">
        <f t="shared" si="13"/>
        <v>1</v>
      </c>
      <c r="L26">
        <f t="shared" si="14"/>
        <v>5.5555555555555558E-3</v>
      </c>
      <c r="M26" s="60">
        <f>L26/dose!$O$10</f>
        <v>2.0634920634920638E-2</v>
      </c>
    </row>
    <row r="27" spans="1:13" ht="17" x14ac:dyDescent="0.2">
      <c r="A27" s="5" t="s">
        <v>12</v>
      </c>
      <c r="B27" s="7">
        <v>16</v>
      </c>
      <c r="C27" s="7">
        <v>4</v>
      </c>
      <c r="D27">
        <f t="shared" si="12"/>
        <v>10</v>
      </c>
      <c r="E27" s="5">
        <v>100</v>
      </c>
      <c r="F27" s="5">
        <f>1877.2-1729.5</f>
        <v>147.70000000000005</v>
      </c>
      <c r="G27" s="9">
        <f t="shared" si="15"/>
        <v>5.83061950468805</v>
      </c>
      <c r="H27" s="3">
        <v>17</v>
      </c>
      <c r="I27" s="3">
        <v>17</v>
      </c>
      <c r="J27" s="3">
        <v>100</v>
      </c>
      <c r="K27" s="3">
        <f t="shared" si="13"/>
        <v>17</v>
      </c>
      <c r="L27">
        <f t="shared" si="14"/>
        <v>1.7</v>
      </c>
      <c r="M27" s="60">
        <f>L27/dose!$O$10</f>
        <v>6.3142857142857141</v>
      </c>
    </row>
    <row r="28" spans="1:13" x14ac:dyDescent="0.2">
      <c r="A28" s="4"/>
      <c r="E28" s="4"/>
      <c r="F28" s="4"/>
      <c r="G28" s="9"/>
    </row>
    <row r="29" spans="1:13" ht="51" customHeight="1" x14ac:dyDescent="0.2">
      <c r="A29" s="2" t="s">
        <v>43</v>
      </c>
      <c r="B29" s="131" t="s">
        <v>30</v>
      </c>
      <c r="C29" s="131"/>
      <c r="D29" s="5" t="s">
        <v>0</v>
      </c>
      <c r="E29" s="5" t="s">
        <v>3</v>
      </c>
      <c r="F29" s="5" t="s">
        <v>1</v>
      </c>
      <c r="G29" s="8" t="s">
        <v>2</v>
      </c>
      <c r="H29" s="130" t="s">
        <v>44</v>
      </c>
      <c r="I29" s="130"/>
      <c r="J29" s="40" t="s">
        <v>20</v>
      </c>
      <c r="K29" s="5" t="s">
        <v>27</v>
      </c>
      <c r="L29" s="5" t="s">
        <v>28</v>
      </c>
      <c r="M29" s="59" t="s">
        <v>17</v>
      </c>
    </row>
    <row r="30" spans="1:13" x14ac:dyDescent="0.2">
      <c r="A30" s="4" t="s">
        <v>10</v>
      </c>
      <c r="B30">
        <v>23</v>
      </c>
      <c r="C30">
        <v>25</v>
      </c>
      <c r="D30">
        <f>AVERAGE(B30:C30)</f>
        <v>24</v>
      </c>
      <c r="E30" s="4">
        <v>1</v>
      </c>
      <c r="F30" s="4">
        <f>1813.7-1794.8</f>
        <v>18.900000000000091</v>
      </c>
      <c r="G30" s="9">
        <f>LOG10(D30*100*E30/F30*1000)</f>
        <v>5.1037494375383599</v>
      </c>
      <c r="H30" s="3">
        <v>11</v>
      </c>
      <c r="I30" s="3">
        <v>16</v>
      </c>
      <c r="J30" s="3">
        <v>10000</v>
      </c>
      <c r="K30" s="3">
        <f>AVERAGE(H30:I30)</f>
        <v>13.5</v>
      </c>
      <c r="L30">
        <f>(J30*K30)/(D30*E30)</f>
        <v>5625</v>
      </c>
      <c r="M30" s="60">
        <f>L30/dose!$O$10</f>
        <v>20892.857142857145</v>
      </c>
    </row>
    <row r="31" spans="1:13" x14ac:dyDescent="0.2">
      <c r="A31" s="4" t="s">
        <v>11</v>
      </c>
      <c r="B31">
        <v>45</v>
      </c>
      <c r="C31">
        <v>43</v>
      </c>
      <c r="D31">
        <f t="shared" ref="D31:D34" si="16">AVERAGE(B31:C31)</f>
        <v>44</v>
      </c>
      <c r="E31" s="4">
        <v>1</v>
      </c>
      <c r="F31" s="4">
        <f>1717.8-1706.3</f>
        <v>11.5</v>
      </c>
      <c r="G31" s="9">
        <f>LOG10(D31*100*E31/F31*1000)</f>
        <v>5.5827548361325761</v>
      </c>
      <c r="H31" s="3">
        <v>12</v>
      </c>
      <c r="I31" s="3">
        <v>20</v>
      </c>
      <c r="J31" s="3">
        <v>10000</v>
      </c>
      <c r="K31" s="3">
        <f t="shared" ref="K31:K34" si="17">AVERAGE(H31:I31)</f>
        <v>16</v>
      </c>
      <c r="L31">
        <f t="shared" ref="L31:L34" si="18">(J31*K31)/(D31*E31)</f>
        <v>3636.3636363636365</v>
      </c>
      <c r="M31" s="60">
        <f>L31/dose!$O$10</f>
        <v>13506.493506493507</v>
      </c>
    </row>
    <row r="32" spans="1:13" x14ac:dyDescent="0.2">
      <c r="A32" s="4" t="s">
        <v>8</v>
      </c>
      <c r="B32">
        <v>1</v>
      </c>
      <c r="C32">
        <v>1</v>
      </c>
      <c r="D32">
        <f t="shared" si="16"/>
        <v>1</v>
      </c>
      <c r="E32" s="4">
        <v>10</v>
      </c>
      <c r="F32" s="4">
        <f>1950.9-1922.4</f>
        <v>28.5</v>
      </c>
      <c r="G32" s="9">
        <f t="shared" ref="G32:G34" si="19">LOG10(D32*100*E32/F32*1000)</f>
        <v>4.5451551399914898</v>
      </c>
      <c r="H32" s="3">
        <v>44</v>
      </c>
      <c r="I32" s="3">
        <v>63</v>
      </c>
      <c r="J32" s="3">
        <v>1000</v>
      </c>
      <c r="K32" s="3">
        <f t="shared" si="17"/>
        <v>53.5</v>
      </c>
      <c r="L32">
        <f t="shared" si="18"/>
        <v>5350</v>
      </c>
      <c r="M32" s="60">
        <f>L32/dose!$O$10</f>
        <v>19871.428571428572</v>
      </c>
    </row>
    <row r="33" spans="1:13" x14ac:dyDescent="0.2">
      <c r="A33" s="4" t="s">
        <v>13</v>
      </c>
      <c r="B33">
        <v>9</v>
      </c>
      <c r="C33">
        <v>9</v>
      </c>
      <c r="D33">
        <f t="shared" si="16"/>
        <v>9</v>
      </c>
      <c r="E33" s="4">
        <v>1000</v>
      </c>
      <c r="F33" s="4">
        <f>1977-1881.1</f>
        <v>95.900000000000091</v>
      </c>
      <c r="G33" s="9">
        <f t="shared" si="19"/>
        <v>6.9724239022686607</v>
      </c>
      <c r="H33" s="3">
        <v>16</v>
      </c>
      <c r="I33" s="3">
        <v>9</v>
      </c>
      <c r="J33" s="3">
        <v>1000</v>
      </c>
      <c r="K33" s="3">
        <f>AVERAGE(H33:I33)</f>
        <v>12.5</v>
      </c>
      <c r="L33">
        <f t="shared" si="18"/>
        <v>1.3888888888888888</v>
      </c>
      <c r="M33" s="60">
        <f>L33/dose!$O$10</f>
        <v>5.1587301587301591</v>
      </c>
    </row>
    <row r="34" spans="1:13" ht="17" x14ac:dyDescent="0.2">
      <c r="A34" s="5" t="s">
        <v>12</v>
      </c>
      <c r="B34" s="7">
        <v>3</v>
      </c>
      <c r="C34" s="7">
        <v>5</v>
      </c>
      <c r="D34">
        <f t="shared" si="16"/>
        <v>4</v>
      </c>
      <c r="E34" s="5">
        <v>100</v>
      </c>
      <c r="F34" s="5">
        <f>1832.2-1728</f>
        <v>104.20000000000005</v>
      </c>
      <c r="G34" s="9">
        <f t="shared" si="19"/>
        <v>5.5841922723644561</v>
      </c>
      <c r="H34" s="3">
        <v>12</v>
      </c>
      <c r="I34" s="3">
        <v>19</v>
      </c>
      <c r="J34" s="3">
        <v>100</v>
      </c>
      <c r="K34" s="3">
        <f t="shared" si="17"/>
        <v>15.5</v>
      </c>
      <c r="L34">
        <f t="shared" si="18"/>
        <v>3.875</v>
      </c>
      <c r="M34" s="60">
        <f>L34/dose!$O$10</f>
        <v>14.392857142857144</v>
      </c>
    </row>
    <row r="35" spans="1:13" s="23" customFormat="1" x14ac:dyDescent="0.2">
      <c r="A35" s="22"/>
      <c r="E35" s="22"/>
      <c r="F35" s="22"/>
      <c r="G35" s="24"/>
      <c r="H35" s="41"/>
      <c r="I35" s="41"/>
      <c r="J35" s="41"/>
      <c r="M35" s="61"/>
    </row>
    <row r="36" spans="1:13" ht="51" customHeight="1" x14ac:dyDescent="0.2">
      <c r="A36" s="2" t="s">
        <v>45</v>
      </c>
      <c r="B36" s="131" t="s">
        <v>29</v>
      </c>
      <c r="C36" s="131"/>
      <c r="D36" s="5" t="s">
        <v>0</v>
      </c>
      <c r="E36" s="5" t="s">
        <v>3</v>
      </c>
      <c r="F36" s="5" t="s">
        <v>1</v>
      </c>
      <c r="G36" s="8" t="s">
        <v>2</v>
      </c>
      <c r="H36" s="130" t="s">
        <v>21</v>
      </c>
      <c r="I36" s="130"/>
      <c r="J36" s="40" t="s">
        <v>20</v>
      </c>
      <c r="K36" s="5" t="s">
        <v>27</v>
      </c>
      <c r="L36" s="5" t="s">
        <v>28</v>
      </c>
      <c r="M36" s="59" t="s">
        <v>17</v>
      </c>
    </row>
    <row r="37" spans="1:13" x14ac:dyDescent="0.2">
      <c r="A37" s="4" t="s">
        <v>10</v>
      </c>
      <c r="B37">
        <v>14</v>
      </c>
      <c r="C37">
        <v>16</v>
      </c>
      <c r="D37">
        <f>AVERAGE(B37:C37)</f>
        <v>15</v>
      </c>
      <c r="E37" s="4">
        <v>100</v>
      </c>
      <c r="F37" s="4">
        <f>1882.7-1870.2</f>
        <v>12.5</v>
      </c>
      <c r="G37" s="9">
        <f>LOG10(D37*100*E37/F37*1000)</f>
        <v>7.0791812460476251</v>
      </c>
      <c r="H37" s="3">
        <v>9</v>
      </c>
      <c r="I37" s="3">
        <v>9</v>
      </c>
      <c r="J37" s="3">
        <v>10000</v>
      </c>
      <c r="K37" s="3">
        <f>AVERAGE(H37:I37)</f>
        <v>9</v>
      </c>
      <c r="L37">
        <f>(J37*K37)/(D37*E37)</f>
        <v>60</v>
      </c>
      <c r="M37" s="60">
        <f>L37/dose!$O$20</f>
        <v>38.82352941176471</v>
      </c>
    </row>
    <row r="38" spans="1:13" x14ac:dyDescent="0.2">
      <c r="A38" s="4" t="s">
        <v>11</v>
      </c>
      <c r="B38">
        <v>11</v>
      </c>
      <c r="C38">
        <v>11</v>
      </c>
      <c r="D38">
        <f t="shared" ref="D38:D41" si="20">AVERAGE(B38:C38)</f>
        <v>11</v>
      </c>
      <c r="E38" s="4">
        <v>100</v>
      </c>
      <c r="F38" s="4">
        <f>1747.7-1729.1</f>
        <v>18.600000000000136</v>
      </c>
      <c r="G38" s="9">
        <f>LOG10(D38*100*E38/F38*1000)</f>
        <v>6.7718797409403058</v>
      </c>
      <c r="H38" s="3">
        <v>38</v>
      </c>
      <c r="I38" s="3">
        <v>30</v>
      </c>
      <c r="J38" s="3">
        <v>10000</v>
      </c>
      <c r="K38" s="3">
        <f t="shared" ref="K38:K41" si="21">AVERAGE(H38:I38)</f>
        <v>34</v>
      </c>
      <c r="L38">
        <f t="shared" ref="L38:L41" si="22">(J38*K38)/(D38*E38)</f>
        <v>309.09090909090907</v>
      </c>
      <c r="M38" s="60">
        <f>L38/dose!$O$20</f>
        <v>200.00000000000003</v>
      </c>
    </row>
    <row r="39" spans="1:13" x14ac:dyDescent="0.2">
      <c r="A39" s="4" t="s">
        <v>8</v>
      </c>
      <c r="B39">
        <v>61</v>
      </c>
      <c r="D39">
        <f t="shared" si="20"/>
        <v>61</v>
      </c>
      <c r="E39" s="4">
        <v>1</v>
      </c>
      <c r="F39" s="4">
        <f>1747.5-1721.5</f>
        <v>26</v>
      </c>
      <c r="G39" s="9">
        <f t="shared" ref="G39:G41" si="23">LOG10(D39*100*E39/F39*1000)</f>
        <v>5.3703564870399489</v>
      </c>
      <c r="H39" s="3">
        <v>11</v>
      </c>
      <c r="J39" s="3">
        <v>10000</v>
      </c>
      <c r="K39" s="3">
        <f t="shared" si="21"/>
        <v>11</v>
      </c>
      <c r="L39">
        <f t="shared" si="22"/>
        <v>1803.2786885245901</v>
      </c>
      <c r="M39" s="60">
        <f>L39/dose!$O$20</f>
        <v>1166.8273866923821</v>
      </c>
    </row>
    <row r="40" spans="1:13" x14ac:dyDescent="0.2">
      <c r="A40" s="4" t="s">
        <v>13</v>
      </c>
      <c r="B40">
        <v>21</v>
      </c>
      <c r="D40">
        <f t="shared" si="20"/>
        <v>21</v>
      </c>
      <c r="E40" s="4">
        <v>10</v>
      </c>
      <c r="F40" s="4">
        <f>1765.1-1730.9</f>
        <v>34.199999999999818</v>
      </c>
      <c r="G40" s="9">
        <f t="shared" si="23"/>
        <v>5.7881931886777869</v>
      </c>
      <c r="H40" s="3">
        <v>22</v>
      </c>
      <c r="J40" s="3">
        <v>100000</v>
      </c>
      <c r="K40" s="3">
        <f t="shared" si="21"/>
        <v>22</v>
      </c>
      <c r="L40">
        <f t="shared" si="22"/>
        <v>10476.190476190477</v>
      </c>
      <c r="M40" s="60">
        <f>L40/dose!$O$20</f>
        <v>6778.7114845938395</v>
      </c>
    </row>
    <row r="41" spans="1:13" ht="17" x14ac:dyDescent="0.2">
      <c r="A41" s="5" t="s">
        <v>55</v>
      </c>
      <c r="B41" s="7"/>
      <c r="C41" s="7"/>
      <c r="D41" t="e">
        <f t="shared" si="20"/>
        <v>#DIV/0!</v>
      </c>
      <c r="E41" s="5"/>
      <c r="F41" s="5"/>
      <c r="G41" s="9" t="e">
        <f t="shared" si="23"/>
        <v>#DIV/0!</v>
      </c>
      <c r="K41" s="3" t="e">
        <f t="shared" si="21"/>
        <v>#DIV/0!</v>
      </c>
      <c r="L41" t="e">
        <f t="shared" si="22"/>
        <v>#DIV/0!</v>
      </c>
      <c r="M41" s="60" t="e">
        <f>L41/dose!$O$20</f>
        <v>#DIV/0!</v>
      </c>
    </row>
    <row r="42" spans="1:13" x14ac:dyDescent="0.2">
      <c r="A42" s="4"/>
      <c r="E42" s="4"/>
      <c r="F42" s="4"/>
      <c r="G42" s="9"/>
    </row>
    <row r="43" spans="1:13" ht="51" customHeight="1" x14ac:dyDescent="0.2">
      <c r="A43" s="2" t="s">
        <v>46</v>
      </c>
      <c r="B43" s="131" t="s">
        <v>29</v>
      </c>
      <c r="C43" s="131"/>
      <c r="D43" s="5" t="s">
        <v>0</v>
      </c>
      <c r="E43" s="5" t="s">
        <v>3</v>
      </c>
      <c r="F43" s="5" t="s">
        <v>1</v>
      </c>
      <c r="G43" s="8" t="s">
        <v>2</v>
      </c>
      <c r="H43" s="130" t="s">
        <v>21</v>
      </c>
      <c r="I43" s="130"/>
      <c r="J43" s="40" t="s">
        <v>20</v>
      </c>
      <c r="K43" s="5" t="s">
        <v>27</v>
      </c>
      <c r="L43" s="5" t="s">
        <v>28</v>
      </c>
      <c r="M43" s="59" t="s">
        <v>17</v>
      </c>
    </row>
    <row r="44" spans="1:13" x14ac:dyDescent="0.2">
      <c r="A44" s="4" t="s">
        <v>10</v>
      </c>
      <c r="B44">
        <v>47</v>
      </c>
      <c r="C44">
        <v>38</v>
      </c>
      <c r="D44">
        <f>AVERAGE(B44:C44)</f>
        <v>42.5</v>
      </c>
      <c r="E44" s="4">
        <v>1</v>
      </c>
      <c r="F44" s="4">
        <f>1748.2-1727</f>
        <v>21.200000000000045</v>
      </c>
      <c r="G44" s="9">
        <f>LOG10(D44*100*E44/F44*1000)</f>
        <v>5.302053069121559</v>
      </c>
      <c r="H44" s="3">
        <v>25</v>
      </c>
      <c r="I44" s="3">
        <v>20</v>
      </c>
      <c r="J44" s="3">
        <v>1000</v>
      </c>
      <c r="K44" s="3">
        <f>AVERAGE(H44:I44)</f>
        <v>22.5</v>
      </c>
      <c r="L44">
        <f>(J44*K44)/(D44*E44)</f>
        <v>529.41176470588232</v>
      </c>
      <c r="M44" s="60">
        <f>L44/dose!$O$20</f>
        <v>342.56055363321803</v>
      </c>
    </row>
    <row r="45" spans="1:13" x14ac:dyDescent="0.2">
      <c r="A45" s="4" t="s">
        <v>11</v>
      </c>
      <c r="B45">
        <v>55</v>
      </c>
      <c r="C45">
        <v>31</v>
      </c>
      <c r="D45">
        <f t="shared" ref="D45:D48" si="24">AVERAGE(B45:C45)</f>
        <v>43</v>
      </c>
      <c r="E45" s="4">
        <v>1</v>
      </c>
      <c r="F45" s="4">
        <f>1763.2-1726.1</f>
        <v>37.100000000000136</v>
      </c>
      <c r="G45" s="9">
        <f>LOG10(D45*100*E45/F45*1000)</f>
        <v>5.0640945459645392</v>
      </c>
      <c r="H45" s="3">
        <v>9</v>
      </c>
      <c r="I45" s="3">
        <v>9</v>
      </c>
      <c r="J45" s="3">
        <v>10000</v>
      </c>
      <c r="K45" s="3">
        <f t="shared" ref="K45:K48" si="25">AVERAGE(H45:I45)</f>
        <v>9</v>
      </c>
      <c r="L45">
        <f t="shared" ref="L45:L48" si="26">(J45*K45)/(D45*E45)</f>
        <v>2093.0232558139537</v>
      </c>
      <c r="M45" s="60">
        <f>L45/dose!$O$20</f>
        <v>1354.3091655266762</v>
      </c>
    </row>
    <row r="46" spans="1:13" x14ac:dyDescent="0.2">
      <c r="A46" s="4" t="s">
        <v>8</v>
      </c>
      <c r="B46">
        <v>11</v>
      </c>
      <c r="D46">
        <f t="shared" si="24"/>
        <v>11</v>
      </c>
      <c r="E46" s="4">
        <v>1</v>
      </c>
      <c r="F46" s="4">
        <f>1875-1807.9</f>
        <v>67.099999999999909</v>
      </c>
      <c r="G46" s="9">
        <f t="shared" ref="G46:G48" si="27">LOG10(D46*100*E46/F46*1000)</f>
        <v>4.2146701649892337</v>
      </c>
      <c r="H46" s="3">
        <v>14</v>
      </c>
      <c r="J46" s="3">
        <v>10000</v>
      </c>
      <c r="K46" s="3">
        <f t="shared" si="25"/>
        <v>14</v>
      </c>
      <c r="L46">
        <f t="shared" si="26"/>
        <v>12727.272727272728</v>
      </c>
      <c r="M46" s="60">
        <f>L46/dose!$O$20</f>
        <v>8235.2941176470613</v>
      </c>
    </row>
    <row r="47" spans="1:13" x14ac:dyDescent="0.2">
      <c r="A47" s="4" t="s">
        <v>13</v>
      </c>
      <c r="B47">
        <v>10</v>
      </c>
      <c r="D47">
        <f t="shared" si="24"/>
        <v>10</v>
      </c>
      <c r="E47" s="4">
        <v>1</v>
      </c>
      <c r="F47" s="4">
        <f>1840.9-1738.7</f>
        <v>102.20000000000005</v>
      </c>
      <c r="G47" s="9">
        <f t="shared" si="27"/>
        <v>3.9905491042013059</v>
      </c>
      <c r="H47" s="3">
        <v>15</v>
      </c>
      <c r="J47" s="3">
        <v>10000</v>
      </c>
      <c r="K47" s="3">
        <f t="shared" si="25"/>
        <v>15</v>
      </c>
      <c r="L47">
        <f t="shared" si="26"/>
        <v>15000</v>
      </c>
      <c r="M47" s="60">
        <f>L47/dose!$O$20</f>
        <v>9705.8823529411784</v>
      </c>
    </row>
    <row r="48" spans="1:13" ht="17" x14ac:dyDescent="0.2">
      <c r="A48" s="5" t="s">
        <v>12</v>
      </c>
      <c r="B48" s="7">
        <v>0</v>
      </c>
      <c r="C48" s="7"/>
      <c r="D48">
        <f t="shared" si="24"/>
        <v>0</v>
      </c>
      <c r="E48" s="5">
        <v>1</v>
      </c>
      <c r="F48" s="5">
        <f>1783.6-1734.8</f>
        <v>48.799999999999955</v>
      </c>
      <c r="G48" s="9" t="e">
        <f t="shared" si="27"/>
        <v>#NUM!</v>
      </c>
      <c r="H48" s="3">
        <v>33</v>
      </c>
      <c r="J48" s="3">
        <v>100</v>
      </c>
      <c r="K48" s="3">
        <f t="shared" si="25"/>
        <v>33</v>
      </c>
      <c r="L48" t="e">
        <f t="shared" si="26"/>
        <v>#DIV/0!</v>
      </c>
      <c r="M48" s="60" t="e">
        <f>L48/dose!$O$20</f>
        <v>#DIV/0!</v>
      </c>
    </row>
    <row r="49" spans="1:13" x14ac:dyDescent="0.2">
      <c r="A49" s="4"/>
      <c r="E49" s="4"/>
      <c r="F49" s="4"/>
      <c r="G49" s="9"/>
    </row>
    <row r="50" spans="1:13" ht="51" customHeight="1" x14ac:dyDescent="0.2">
      <c r="A50" s="2" t="s">
        <v>47</v>
      </c>
      <c r="B50" s="131" t="s">
        <v>29</v>
      </c>
      <c r="C50" s="131"/>
      <c r="D50" s="5" t="s">
        <v>0</v>
      </c>
      <c r="E50" s="5" t="s">
        <v>3</v>
      </c>
      <c r="F50" s="5" t="s">
        <v>1</v>
      </c>
      <c r="G50" s="8" t="s">
        <v>2</v>
      </c>
      <c r="H50" s="130" t="s">
        <v>21</v>
      </c>
      <c r="I50" s="130"/>
      <c r="J50" s="40" t="s">
        <v>20</v>
      </c>
      <c r="K50" s="5" t="s">
        <v>27</v>
      </c>
      <c r="L50" s="5" t="s">
        <v>28</v>
      </c>
      <c r="M50" s="59" t="s">
        <v>17</v>
      </c>
    </row>
    <row r="51" spans="1:13" x14ac:dyDescent="0.2">
      <c r="A51" s="4" t="s">
        <v>10</v>
      </c>
      <c r="B51">
        <v>8</v>
      </c>
      <c r="C51">
        <v>10</v>
      </c>
      <c r="D51">
        <f>AVERAGE(B51:C51)</f>
        <v>9</v>
      </c>
      <c r="E51" s="4">
        <v>100</v>
      </c>
      <c r="F51" s="4">
        <f>1744-1728.6</f>
        <v>15.400000000000091</v>
      </c>
      <c r="G51" s="9">
        <f>LOG10(D51*100*E51/F51*1000)</f>
        <v>6.766721788602859</v>
      </c>
      <c r="H51" s="3">
        <v>33</v>
      </c>
      <c r="I51" s="3">
        <v>30</v>
      </c>
      <c r="J51" s="3">
        <v>1000</v>
      </c>
      <c r="K51" s="3">
        <f>AVERAGE(H51:I51)</f>
        <v>31.5</v>
      </c>
      <c r="L51">
        <f>(J51*K51)/(D51*E51)</f>
        <v>35</v>
      </c>
      <c r="M51" s="60">
        <f>L51/dose!$O$20</f>
        <v>22.647058823529417</v>
      </c>
    </row>
    <row r="52" spans="1:13" x14ac:dyDescent="0.2">
      <c r="A52" s="4" t="s">
        <v>11</v>
      </c>
      <c r="B52">
        <v>22</v>
      </c>
      <c r="C52">
        <v>27</v>
      </c>
      <c r="D52">
        <f t="shared" ref="D52:D55" si="28">AVERAGE(B52:C52)</f>
        <v>24.5</v>
      </c>
      <c r="E52" s="4">
        <v>100</v>
      </c>
      <c r="F52" s="4">
        <f>1778.3-1727.6</f>
        <v>50.700000000000045</v>
      </c>
      <c r="G52" s="9">
        <f>LOG10(D52*100*E52/F52*1000)</f>
        <v>6.6841581250311961</v>
      </c>
      <c r="H52" s="3">
        <v>15</v>
      </c>
      <c r="I52" s="3">
        <v>22</v>
      </c>
      <c r="J52" s="3">
        <v>10000</v>
      </c>
      <c r="K52" s="3">
        <f t="shared" ref="K52:K55" si="29">AVERAGE(H52:I52)</f>
        <v>18.5</v>
      </c>
      <c r="L52">
        <f t="shared" ref="L52:L55" si="30">(J52*K52)/(D52*E52)</f>
        <v>75.510204081632651</v>
      </c>
      <c r="M52" s="60">
        <f>L52/dose!$O$20</f>
        <v>48.859543817527019</v>
      </c>
    </row>
    <row r="53" spans="1:13" x14ac:dyDescent="0.2">
      <c r="A53" s="4" t="s">
        <v>8</v>
      </c>
      <c r="B53">
        <v>36</v>
      </c>
      <c r="D53">
        <f t="shared" si="28"/>
        <v>36</v>
      </c>
      <c r="E53" s="4">
        <v>10</v>
      </c>
      <c r="F53" s="4">
        <f>1831.9-1801.2</f>
        <v>30.700000000000045</v>
      </c>
      <c r="G53" s="9">
        <f t="shared" ref="G53:G55" si="31">LOG10(D53*100*E53/F53*1000)</f>
        <v>6.0691641252900999</v>
      </c>
      <c r="H53" s="3">
        <v>46</v>
      </c>
      <c r="J53" s="3">
        <v>1000</v>
      </c>
      <c r="K53" s="3">
        <f t="shared" si="29"/>
        <v>46</v>
      </c>
      <c r="L53">
        <f t="shared" si="30"/>
        <v>127.77777777777777</v>
      </c>
      <c r="M53" s="60">
        <f>L53/dose!$O$20</f>
        <v>82.679738562091515</v>
      </c>
    </row>
    <row r="54" spans="1:13" x14ac:dyDescent="0.2">
      <c r="A54" s="4" t="s">
        <v>13</v>
      </c>
      <c r="B54">
        <v>6</v>
      </c>
      <c r="D54">
        <f t="shared" si="28"/>
        <v>6</v>
      </c>
      <c r="E54" s="4">
        <v>10</v>
      </c>
      <c r="F54" s="4">
        <f>1844.4-1721.2</f>
        <v>123.20000000000005</v>
      </c>
      <c r="G54" s="9">
        <f t="shared" si="31"/>
        <v>4.6875405425552366</v>
      </c>
      <c r="H54" s="3">
        <v>36</v>
      </c>
      <c r="J54" s="3">
        <v>1000</v>
      </c>
      <c r="K54" s="3">
        <f t="shared" si="29"/>
        <v>36</v>
      </c>
      <c r="L54">
        <f t="shared" si="30"/>
        <v>600</v>
      </c>
      <c r="M54" s="60">
        <f>L54/dose!$O$20</f>
        <v>388.23529411764713</v>
      </c>
    </row>
    <row r="55" spans="1:13" ht="17" x14ac:dyDescent="0.2">
      <c r="A55" s="5" t="s">
        <v>12</v>
      </c>
      <c r="B55" s="7">
        <v>0</v>
      </c>
      <c r="C55" s="7"/>
      <c r="D55">
        <f t="shared" si="28"/>
        <v>0</v>
      </c>
      <c r="E55" s="5">
        <v>1</v>
      </c>
      <c r="F55" s="5">
        <f>1802.8-1734.4</f>
        <v>68.399999999999864</v>
      </c>
      <c r="G55" s="9" t="e">
        <f t="shared" si="31"/>
        <v>#NUM!</v>
      </c>
      <c r="H55" s="3">
        <v>21</v>
      </c>
      <c r="J55" s="3">
        <v>1</v>
      </c>
      <c r="K55" s="3">
        <f t="shared" si="29"/>
        <v>21</v>
      </c>
      <c r="L55" t="e">
        <f t="shared" si="30"/>
        <v>#DIV/0!</v>
      </c>
      <c r="M55" s="60" t="e">
        <f>L55/dose!$O$20</f>
        <v>#DIV/0!</v>
      </c>
    </row>
    <row r="56" spans="1:13" x14ac:dyDescent="0.2">
      <c r="A56" s="4"/>
      <c r="E56" s="4"/>
      <c r="F56" s="4"/>
      <c r="G56" s="9"/>
    </row>
    <row r="57" spans="1:13" ht="51" customHeight="1" x14ac:dyDescent="0.2">
      <c r="A57" s="2" t="s">
        <v>48</v>
      </c>
      <c r="B57" s="131" t="s">
        <v>29</v>
      </c>
      <c r="C57" s="131"/>
      <c r="D57" s="5" t="s">
        <v>0</v>
      </c>
      <c r="E57" s="5" t="s">
        <v>3</v>
      </c>
      <c r="F57" s="5" t="s">
        <v>1</v>
      </c>
      <c r="G57" s="8" t="s">
        <v>2</v>
      </c>
      <c r="H57" s="130" t="s">
        <v>21</v>
      </c>
      <c r="I57" s="130"/>
      <c r="J57" s="40" t="s">
        <v>20</v>
      </c>
      <c r="K57" s="5" t="s">
        <v>27</v>
      </c>
      <c r="L57" s="5" t="s">
        <v>28</v>
      </c>
      <c r="M57" s="59" t="s">
        <v>17</v>
      </c>
    </row>
    <row r="58" spans="1:13" x14ac:dyDescent="0.2">
      <c r="A58" s="4" t="s">
        <v>10</v>
      </c>
      <c r="B58">
        <v>49</v>
      </c>
      <c r="C58">
        <v>58</v>
      </c>
      <c r="D58">
        <f>AVERAGE(B58:C58)</f>
        <v>53.5</v>
      </c>
      <c r="E58" s="4">
        <v>1</v>
      </c>
      <c r="F58" s="4">
        <f>1740.2-1726.5</f>
        <v>13.700000000000045</v>
      </c>
      <c r="G58" s="9">
        <f>LOG10(D58*100*E58/F58*1000)</f>
        <v>5.59163321486482</v>
      </c>
      <c r="H58" s="3">
        <v>44</v>
      </c>
      <c r="I58" s="3">
        <v>37</v>
      </c>
      <c r="J58" s="3">
        <v>1000</v>
      </c>
      <c r="K58" s="3">
        <f>AVERAGE(H58:I58)</f>
        <v>40.5</v>
      </c>
      <c r="L58">
        <f>(J58*K58)/(D58*E58)</f>
        <v>757.00934579439252</v>
      </c>
      <c r="M58" s="60">
        <f>L58/dose!$O$20</f>
        <v>489.82957669048938</v>
      </c>
    </row>
    <row r="59" spans="1:13" x14ac:dyDescent="0.2">
      <c r="A59" s="4" t="s">
        <v>11</v>
      </c>
      <c r="B59">
        <v>34</v>
      </c>
      <c r="C59">
        <v>38</v>
      </c>
      <c r="D59">
        <f t="shared" ref="D59:D62" si="32">AVERAGE(B59:C59)</f>
        <v>36</v>
      </c>
      <c r="E59" s="4">
        <v>1</v>
      </c>
      <c r="F59" s="4">
        <f>1846.3-1791.6</f>
        <v>54.700000000000045</v>
      </c>
      <c r="G59" s="9">
        <f>LOG10(D59*100*E59/F59*1000)</f>
        <v>4.8183151744338559</v>
      </c>
      <c r="H59" s="3">
        <v>14</v>
      </c>
      <c r="I59" s="3">
        <v>13</v>
      </c>
      <c r="J59" s="3">
        <v>10000</v>
      </c>
      <c r="K59" s="3">
        <f t="shared" ref="K59:K62" si="33">AVERAGE(H59:I59)</f>
        <v>13.5</v>
      </c>
      <c r="L59">
        <f t="shared" ref="L59:L62" si="34">(J59*K59)/(D59*E59)</f>
        <v>3750</v>
      </c>
      <c r="M59" s="60">
        <f>L59/dose!$O$20</f>
        <v>2426.4705882352946</v>
      </c>
    </row>
    <row r="60" spans="1:13" x14ac:dyDescent="0.2">
      <c r="A60" s="4" t="s">
        <v>8</v>
      </c>
      <c r="B60">
        <v>2</v>
      </c>
      <c r="D60">
        <f t="shared" si="32"/>
        <v>2</v>
      </c>
      <c r="E60" s="4">
        <v>1</v>
      </c>
      <c r="F60" s="4">
        <f>1811.2-1790.4</f>
        <v>20.799999999999955</v>
      </c>
      <c r="G60" s="9">
        <f t="shared" ref="G60:G62" si="35">LOG10(D60*100*E60/F60*1000)</f>
        <v>3.9829666607012206</v>
      </c>
      <c r="H60" s="3">
        <v>79</v>
      </c>
      <c r="J60" s="3">
        <v>1000</v>
      </c>
      <c r="K60" s="3">
        <f t="shared" si="33"/>
        <v>79</v>
      </c>
      <c r="L60">
        <f t="shared" si="34"/>
        <v>39500</v>
      </c>
      <c r="M60" s="60">
        <f>L60/dose!$O$20</f>
        <v>25558.823529411769</v>
      </c>
    </row>
    <row r="61" spans="1:13" x14ac:dyDescent="0.2">
      <c r="A61" s="4" t="s">
        <v>13</v>
      </c>
      <c r="B61">
        <v>1</v>
      </c>
      <c r="D61">
        <f t="shared" si="32"/>
        <v>1</v>
      </c>
      <c r="E61" s="4">
        <v>1</v>
      </c>
      <c r="F61" s="4">
        <f>1917.5-1810.8</f>
        <v>106.70000000000005</v>
      </c>
      <c r="G61" s="9">
        <f t="shared" si="35"/>
        <v>2.9718355805755299</v>
      </c>
      <c r="H61" s="3">
        <v>16</v>
      </c>
      <c r="J61" s="3">
        <v>10000</v>
      </c>
      <c r="K61" s="3">
        <f t="shared" si="33"/>
        <v>16</v>
      </c>
      <c r="L61">
        <f t="shared" si="34"/>
        <v>160000</v>
      </c>
      <c r="M61" s="60">
        <f>L61/dose!$O$20</f>
        <v>103529.4117647059</v>
      </c>
    </row>
    <row r="62" spans="1:13" ht="17" x14ac:dyDescent="0.2">
      <c r="A62" s="5" t="s">
        <v>12</v>
      </c>
      <c r="B62" s="7">
        <v>0</v>
      </c>
      <c r="C62" s="7"/>
      <c r="D62">
        <f t="shared" si="32"/>
        <v>0</v>
      </c>
      <c r="E62" s="5">
        <v>1</v>
      </c>
      <c r="F62" s="5">
        <f>1921.6-1871.6</f>
        <v>50</v>
      </c>
      <c r="G62" s="9" t="e">
        <f t="shared" si="35"/>
        <v>#NUM!</v>
      </c>
      <c r="H62" s="3">
        <v>13</v>
      </c>
      <c r="J62" s="3">
        <v>10</v>
      </c>
      <c r="K62" s="3">
        <f t="shared" si="33"/>
        <v>13</v>
      </c>
      <c r="L62" t="e">
        <f t="shared" si="34"/>
        <v>#DIV/0!</v>
      </c>
      <c r="M62" s="60" t="e">
        <f>L62/dose!$O$20</f>
        <v>#DIV/0!</v>
      </c>
    </row>
    <row r="63" spans="1:13" x14ac:dyDescent="0.2">
      <c r="A63" s="4"/>
      <c r="E63" s="4"/>
      <c r="F63" s="4"/>
      <c r="G63" s="9"/>
    </row>
    <row r="64" spans="1:13" ht="51" customHeight="1" x14ac:dyDescent="0.2">
      <c r="A64" s="2" t="s">
        <v>49</v>
      </c>
      <c r="B64" s="131" t="s">
        <v>29</v>
      </c>
      <c r="C64" s="131"/>
      <c r="D64" s="5" t="s">
        <v>0</v>
      </c>
      <c r="E64" s="5" t="s">
        <v>3</v>
      </c>
      <c r="F64" s="5" t="s">
        <v>1</v>
      </c>
      <c r="G64" s="8" t="s">
        <v>2</v>
      </c>
      <c r="H64" s="130" t="s">
        <v>21</v>
      </c>
      <c r="I64" s="130"/>
      <c r="J64" s="40" t="s">
        <v>20</v>
      </c>
      <c r="K64" s="5" t="s">
        <v>27</v>
      </c>
      <c r="L64" s="5" t="s">
        <v>28</v>
      </c>
      <c r="M64" s="59" t="s">
        <v>17</v>
      </c>
    </row>
    <row r="65" spans="1:13" x14ac:dyDescent="0.2">
      <c r="A65" s="4" t="s">
        <v>10</v>
      </c>
      <c r="B65">
        <v>31</v>
      </c>
      <c r="C65">
        <v>39</v>
      </c>
      <c r="D65">
        <f>AVERAGE(B65:C65)</f>
        <v>35</v>
      </c>
      <c r="E65" s="4">
        <v>10</v>
      </c>
      <c r="F65" s="4">
        <f>1738-1723.2</f>
        <v>14.799999999999955</v>
      </c>
      <c r="G65" s="9">
        <f>LOG10(D65*100*E65/F65*1000)</f>
        <v>6.37380632895532</v>
      </c>
      <c r="H65" s="3">
        <v>18</v>
      </c>
      <c r="I65" s="3">
        <v>26</v>
      </c>
      <c r="J65" s="3">
        <v>1000</v>
      </c>
      <c r="K65" s="3">
        <f>AVERAGE(H65:I65)</f>
        <v>22</v>
      </c>
      <c r="L65">
        <f>(J65*K65)/(D65*E65)</f>
        <v>62.857142857142854</v>
      </c>
      <c r="M65" s="60">
        <f>L65/dose!$O$20</f>
        <v>40.67226890756303</v>
      </c>
    </row>
    <row r="66" spans="1:13" x14ac:dyDescent="0.2">
      <c r="A66" s="4" t="s">
        <v>11</v>
      </c>
      <c r="B66">
        <v>15</v>
      </c>
      <c r="C66">
        <v>22</v>
      </c>
      <c r="D66">
        <f t="shared" ref="D66:D69" si="36">AVERAGE(B66:C66)</f>
        <v>18.5</v>
      </c>
      <c r="E66" s="4">
        <v>1</v>
      </c>
      <c r="F66" s="4">
        <f>1966.2-1949.6</f>
        <v>16.600000000000136</v>
      </c>
      <c r="G66" s="9">
        <f>LOG10(D66*100*E66/F66*1000)</f>
        <v>5.0470636403629552</v>
      </c>
      <c r="H66" s="3">
        <v>6</v>
      </c>
      <c r="I66" s="3">
        <v>12</v>
      </c>
      <c r="J66" s="3">
        <v>10000</v>
      </c>
      <c r="K66" s="3">
        <f t="shared" ref="K66:K67" si="37">AVERAGE(H66:I66)</f>
        <v>9</v>
      </c>
      <c r="L66">
        <f t="shared" ref="L66:L69" si="38">(J66*K66)/(D66*E66)</f>
        <v>4864.864864864865</v>
      </c>
      <c r="M66" s="60">
        <f>L66/dose!$O$20</f>
        <v>3147.8537360890309</v>
      </c>
    </row>
    <row r="67" spans="1:13" x14ac:dyDescent="0.2">
      <c r="A67" s="4" t="s">
        <v>8</v>
      </c>
      <c r="B67">
        <v>10</v>
      </c>
      <c r="D67">
        <f t="shared" si="36"/>
        <v>10</v>
      </c>
      <c r="E67" s="4">
        <v>10</v>
      </c>
      <c r="F67" s="4">
        <f>1983.7-1952.4</f>
        <v>31.299999999999955</v>
      </c>
      <c r="G67" s="9">
        <f t="shared" ref="G67:G69" si="39">LOG10(D67*100*E67/F67*1000)</f>
        <v>5.5044556624535517</v>
      </c>
      <c r="H67" s="3">
        <v>67</v>
      </c>
      <c r="J67" s="3">
        <v>1000</v>
      </c>
      <c r="K67" s="3">
        <f t="shared" si="37"/>
        <v>67</v>
      </c>
      <c r="L67">
        <f t="shared" si="38"/>
        <v>670</v>
      </c>
      <c r="M67" s="60">
        <f>L67/dose!$O$20</f>
        <v>433.52941176470597</v>
      </c>
    </row>
    <row r="68" spans="1:13" x14ac:dyDescent="0.2">
      <c r="A68" s="4" t="s">
        <v>13</v>
      </c>
      <c r="B68">
        <v>33</v>
      </c>
      <c r="D68">
        <f t="shared" si="36"/>
        <v>33</v>
      </c>
      <c r="E68" s="4">
        <v>1</v>
      </c>
      <c r="F68" s="4">
        <f>1774.9-1734.2</f>
        <v>40.700000000000045</v>
      </c>
      <c r="G68" s="9">
        <f t="shared" si="39"/>
        <v>4.9089195306526667</v>
      </c>
      <c r="H68" s="3">
        <v>12</v>
      </c>
      <c r="J68" s="3">
        <v>10000</v>
      </c>
      <c r="K68" s="3">
        <f>AVERAGE(H68:I68)</f>
        <v>12</v>
      </c>
      <c r="L68">
        <f t="shared" si="38"/>
        <v>3636.3636363636365</v>
      </c>
      <c r="M68" s="60">
        <f>L68/dose!$O$20</f>
        <v>2352.9411764705887</v>
      </c>
    </row>
    <row r="69" spans="1:13" ht="17" x14ac:dyDescent="0.2">
      <c r="A69" s="5" t="s">
        <v>12</v>
      </c>
      <c r="B69" s="7">
        <v>0</v>
      </c>
      <c r="C69" s="7"/>
      <c r="D69">
        <f t="shared" si="36"/>
        <v>0</v>
      </c>
      <c r="E69" s="5">
        <v>1</v>
      </c>
      <c r="F69" s="5">
        <f>1882.6-1799.9</f>
        <v>82.699999999999818</v>
      </c>
      <c r="G69" s="9" t="e">
        <f t="shared" si="39"/>
        <v>#NUM!</v>
      </c>
      <c r="H69" s="3">
        <v>20</v>
      </c>
      <c r="J69" s="3">
        <v>100</v>
      </c>
      <c r="K69" s="3">
        <f t="shared" ref="K69" si="40">AVERAGE(H69:I69)</f>
        <v>20</v>
      </c>
      <c r="L69" t="e">
        <f t="shared" si="38"/>
        <v>#DIV/0!</v>
      </c>
      <c r="M69" s="60" t="e">
        <f>L69/dose!$O$20</f>
        <v>#DIV/0!</v>
      </c>
    </row>
    <row r="70" spans="1:13" s="23" customFormat="1" x14ac:dyDescent="0.2">
      <c r="A70" s="22"/>
      <c r="E70" s="22"/>
      <c r="F70" s="22"/>
      <c r="G70" s="24"/>
      <c r="H70" s="41"/>
      <c r="I70" s="41"/>
      <c r="J70" s="41"/>
      <c r="M70" s="61"/>
    </row>
    <row r="71" spans="1:13" ht="51" customHeight="1" x14ac:dyDescent="0.2">
      <c r="A71" s="2" t="s">
        <v>50</v>
      </c>
      <c r="B71" s="131" t="s">
        <v>30</v>
      </c>
      <c r="C71" s="131"/>
      <c r="D71" s="5" t="s">
        <v>0</v>
      </c>
      <c r="E71" s="5" t="s">
        <v>3</v>
      </c>
      <c r="F71" s="5" t="s">
        <v>1</v>
      </c>
      <c r="G71" s="8" t="s">
        <v>2</v>
      </c>
      <c r="H71" s="130" t="s">
        <v>21</v>
      </c>
      <c r="I71" s="130"/>
      <c r="J71" s="40" t="s">
        <v>20</v>
      </c>
      <c r="K71" s="5" t="s">
        <v>27</v>
      </c>
      <c r="L71" s="5" t="s">
        <v>28</v>
      </c>
      <c r="M71" s="59" t="s">
        <v>17</v>
      </c>
    </row>
    <row r="72" spans="1:13" x14ac:dyDescent="0.2">
      <c r="A72" s="4" t="s">
        <v>10</v>
      </c>
      <c r="B72">
        <v>11</v>
      </c>
      <c r="C72">
        <v>18</v>
      </c>
      <c r="D72">
        <f>AVERAGE(B72:C72)</f>
        <v>14.5</v>
      </c>
      <c r="E72" s="4">
        <v>1</v>
      </c>
      <c r="F72" s="4">
        <f>1809.4-1791.4</f>
        <v>18</v>
      </c>
      <c r="G72" s="9">
        <f>LOG10(D72*100*E72/F72*1000)</f>
        <v>4.9060954971316688</v>
      </c>
      <c r="H72" s="3">
        <v>28</v>
      </c>
      <c r="I72" s="3">
        <v>28</v>
      </c>
      <c r="J72" s="3">
        <v>1000</v>
      </c>
      <c r="K72" s="3">
        <f>AVERAGE(H72:I72)</f>
        <v>28</v>
      </c>
      <c r="L72">
        <f>(J72*K72)/(D72*E72)</f>
        <v>1931.0344827586207</v>
      </c>
      <c r="M72" s="60">
        <f>L72/dose!$O$31</f>
        <v>3267.9045092838196</v>
      </c>
    </row>
    <row r="73" spans="1:13" x14ac:dyDescent="0.2">
      <c r="A73" s="4" t="s">
        <v>11</v>
      </c>
      <c r="B73">
        <v>1</v>
      </c>
      <c r="D73">
        <f t="shared" ref="D73:D76" si="41">AVERAGE(B73:C73)</f>
        <v>1</v>
      </c>
      <c r="E73" s="4">
        <v>1</v>
      </c>
      <c r="F73" s="4">
        <f>1744.9-1723.7</f>
        <v>21.200000000000045</v>
      </c>
      <c r="G73" s="9">
        <f>LOG10(D73*100*E73/F73*1000)</f>
        <v>3.6736641390712474</v>
      </c>
      <c r="H73" s="3">
        <v>10</v>
      </c>
      <c r="J73" s="3">
        <v>10000</v>
      </c>
      <c r="K73" s="3">
        <f t="shared" ref="K73:K76" si="42">AVERAGE(H73:I73)</f>
        <v>10</v>
      </c>
      <c r="L73">
        <f t="shared" ref="L73:L76" si="43">(J73*K73)/(D73*E73)</f>
        <v>100000</v>
      </c>
      <c r="M73" s="60">
        <f>L73/dose!$O$31</f>
        <v>169230.76923076922</v>
      </c>
    </row>
    <row r="74" spans="1:13" x14ac:dyDescent="0.2">
      <c r="A74" s="4" t="s">
        <v>8</v>
      </c>
      <c r="B74">
        <v>2</v>
      </c>
      <c r="D74">
        <f t="shared" si="41"/>
        <v>2</v>
      </c>
      <c r="E74" s="4">
        <v>1</v>
      </c>
      <c r="F74" s="4">
        <f>1878.4-1820.9</f>
        <v>57.5</v>
      </c>
      <c r="G74" s="9">
        <f t="shared" ref="G74:G76" si="44">LOG10(D74*100*E74/F74*1000)</f>
        <v>3.5413621509743507</v>
      </c>
      <c r="H74" s="3">
        <v>36</v>
      </c>
      <c r="J74" s="3">
        <v>1000</v>
      </c>
      <c r="K74" s="3">
        <f t="shared" si="42"/>
        <v>36</v>
      </c>
      <c r="L74">
        <f t="shared" si="43"/>
        <v>18000</v>
      </c>
      <c r="M74" s="60">
        <f>L74/dose!$O$31</f>
        <v>30461.538461538461</v>
      </c>
    </row>
    <row r="75" spans="1:13" x14ac:dyDescent="0.2">
      <c r="A75" s="4" t="s">
        <v>13</v>
      </c>
      <c r="B75">
        <v>0</v>
      </c>
      <c r="D75">
        <f t="shared" si="41"/>
        <v>0</v>
      </c>
      <c r="E75" s="4">
        <v>1</v>
      </c>
      <c r="F75" s="4">
        <f>1846.2-1727.7</f>
        <v>118.5</v>
      </c>
      <c r="G75" s="9" t="e">
        <f t="shared" si="44"/>
        <v>#NUM!</v>
      </c>
      <c r="H75" s="3">
        <v>33</v>
      </c>
      <c r="J75" s="3">
        <v>1000</v>
      </c>
      <c r="K75" s="3">
        <f t="shared" si="42"/>
        <v>33</v>
      </c>
      <c r="L75" t="e">
        <f t="shared" si="43"/>
        <v>#DIV/0!</v>
      </c>
      <c r="M75" s="60" t="e">
        <f>L75/dose!$O$31</f>
        <v>#DIV/0!</v>
      </c>
    </row>
    <row r="76" spans="1:13" ht="17" x14ac:dyDescent="0.2">
      <c r="A76" s="5" t="s">
        <v>12</v>
      </c>
      <c r="B76" s="7">
        <v>0</v>
      </c>
      <c r="C76" s="7"/>
      <c r="D76">
        <f t="shared" si="41"/>
        <v>0</v>
      </c>
      <c r="E76" s="5">
        <v>1</v>
      </c>
      <c r="F76" s="5">
        <f>1790.9</f>
        <v>1790.9</v>
      </c>
      <c r="G76" s="9" t="e">
        <f t="shared" si="44"/>
        <v>#NUM!</v>
      </c>
      <c r="H76" s="3">
        <v>8</v>
      </c>
      <c r="J76" s="3">
        <v>100</v>
      </c>
      <c r="K76" s="3">
        <f t="shared" si="42"/>
        <v>8</v>
      </c>
      <c r="L76" t="e">
        <f t="shared" si="43"/>
        <v>#DIV/0!</v>
      </c>
      <c r="M76" s="60" t="e">
        <f>L76/dose!$O$31</f>
        <v>#DIV/0!</v>
      </c>
    </row>
    <row r="77" spans="1:13" x14ac:dyDescent="0.2">
      <c r="A77" s="4"/>
      <c r="E77" s="4"/>
      <c r="F77" s="4"/>
      <c r="G77" s="9"/>
    </row>
    <row r="78" spans="1:13" ht="51" customHeight="1" x14ac:dyDescent="0.2">
      <c r="A78" s="2" t="s">
        <v>51</v>
      </c>
      <c r="B78" s="131" t="s">
        <v>30</v>
      </c>
      <c r="C78" s="131"/>
      <c r="D78" s="5" t="s">
        <v>0</v>
      </c>
      <c r="E78" s="5" t="s">
        <v>3</v>
      </c>
      <c r="F78" s="5" t="s">
        <v>1</v>
      </c>
      <c r="G78" s="8" t="s">
        <v>2</v>
      </c>
      <c r="H78" s="130" t="s">
        <v>21</v>
      </c>
      <c r="I78" s="130"/>
      <c r="J78" s="40" t="s">
        <v>20</v>
      </c>
      <c r="K78" s="5" t="s">
        <v>27</v>
      </c>
      <c r="L78" s="5" t="s">
        <v>28</v>
      </c>
      <c r="M78" s="59" t="s">
        <v>17</v>
      </c>
    </row>
    <row r="79" spans="1:13" x14ac:dyDescent="0.2">
      <c r="A79" s="4" t="s">
        <v>10</v>
      </c>
      <c r="B79">
        <v>0</v>
      </c>
      <c r="C79">
        <v>0</v>
      </c>
      <c r="D79">
        <f>AVERAGE(B79:C79)</f>
        <v>0</v>
      </c>
      <c r="E79" s="4">
        <v>1</v>
      </c>
      <c r="F79" s="4">
        <f>1821.2-1803.2</f>
        <v>18</v>
      </c>
      <c r="G79" s="9" t="e">
        <f>LOG10(D79*100*E79/F79*1000)</f>
        <v>#NUM!</v>
      </c>
      <c r="H79" s="3">
        <v>10</v>
      </c>
      <c r="I79" s="3">
        <v>7</v>
      </c>
      <c r="J79" s="3">
        <v>10000</v>
      </c>
      <c r="K79" s="3">
        <f>AVERAGE(H79:I79)</f>
        <v>8.5</v>
      </c>
      <c r="L79" t="e">
        <f>(J79*K79)/(D79*E79)</f>
        <v>#DIV/0!</v>
      </c>
      <c r="M79" s="60" t="e">
        <f>L79/dose!$O$31</f>
        <v>#DIV/0!</v>
      </c>
    </row>
    <row r="80" spans="1:13" x14ac:dyDescent="0.2">
      <c r="A80" s="4" t="s">
        <v>11</v>
      </c>
      <c r="B80">
        <v>0</v>
      </c>
      <c r="D80">
        <f t="shared" ref="D80:D83" si="45">AVERAGE(B80:C80)</f>
        <v>0</v>
      </c>
      <c r="E80" s="4">
        <v>1</v>
      </c>
      <c r="F80" s="4">
        <f>1823.2-1800.7</f>
        <v>22.5</v>
      </c>
      <c r="G80" s="9" t="e">
        <f>LOG10(D80*100*E80/F80*1000)</f>
        <v>#NUM!</v>
      </c>
      <c r="H80" s="3">
        <v>46</v>
      </c>
      <c r="J80" s="3">
        <v>10000</v>
      </c>
      <c r="K80" s="3">
        <f t="shared" ref="K80:K83" si="46">AVERAGE(H80:I80)</f>
        <v>46</v>
      </c>
      <c r="L80" t="e">
        <f t="shared" ref="L80:L83" si="47">(J80*K80)/(D80*E80)</f>
        <v>#DIV/0!</v>
      </c>
      <c r="M80" s="60" t="e">
        <f>L80/dose!$O$31</f>
        <v>#DIV/0!</v>
      </c>
    </row>
    <row r="81" spans="1:13" x14ac:dyDescent="0.2">
      <c r="A81" s="4" t="s">
        <v>8</v>
      </c>
      <c r="B81">
        <v>26</v>
      </c>
      <c r="D81">
        <f t="shared" si="45"/>
        <v>26</v>
      </c>
      <c r="E81" s="4">
        <v>1</v>
      </c>
      <c r="F81" s="4">
        <f>1750.9-1726</f>
        <v>24.900000000000091</v>
      </c>
      <c r="G81" s="9">
        <f t="shared" ref="G81:G83" si="48">LOG10(D81*100*E81/F81*1000)</f>
        <v>5.0187740008750801</v>
      </c>
      <c r="H81" s="3">
        <v>19</v>
      </c>
      <c r="J81" s="3">
        <v>1000</v>
      </c>
      <c r="K81" s="3">
        <f t="shared" si="46"/>
        <v>19</v>
      </c>
      <c r="L81">
        <f t="shared" si="47"/>
        <v>730.76923076923072</v>
      </c>
      <c r="M81" s="60">
        <f>L81/dose!$O$31</f>
        <v>1236.6863905325442</v>
      </c>
    </row>
    <row r="82" spans="1:13" x14ac:dyDescent="0.2">
      <c r="A82" s="4" t="s">
        <v>13</v>
      </c>
      <c r="B82">
        <v>20</v>
      </c>
      <c r="D82">
        <f t="shared" si="45"/>
        <v>20</v>
      </c>
      <c r="E82" s="4">
        <v>1</v>
      </c>
      <c r="F82" s="4">
        <f>1789-1714.7</f>
        <v>74.299999999999955</v>
      </c>
      <c r="G82" s="9">
        <f t="shared" si="48"/>
        <v>4.4300411819034062</v>
      </c>
      <c r="H82" s="3">
        <v>35</v>
      </c>
      <c r="J82" s="3">
        <v>1000</v>
      </c>
      <c r="K82" s="3">
        <f t="shared" si="46"/>
        <v>35</v>
      </c>
      <c r="L82">
        <f t="shared" si="47"/>
        <v>1750</v>
      </c>
      <c r="M82" s="60">
        <f>L82/dose!$O$31</f>
        <v>2961.5384615384614</v>
      </c>
    </row>
    <row r="83" spans="1:13" ht="17" x14ac:dyDescent="0.2">
      <c r="A83" s="5" t="s">
        <v>12</v>
      </c>
      <c r="B83" s="7">
        <v>0</v>
      </c>
      <c r="C83" s="7"/>
      <c r="D83">
        <f t="shared" si="45"/>
        <v>0</v>
      </c>
      <c r="E83" s="5">
        <v>1</v>
      </c>
      <c r="F83" s="5">
        <f>1780.1-1727.5</f>
        <v>52.599999999999909</v>
      </c>
      <c r="G83" s="9" t="e">
        <f t="shared" si="48"/>
        <v>#NUM!</v>
      </c>
      <c r="H83" s="3">
        <v>45</v>
      </c>
      <c r="J83" s="3">
        <v>1000</v>
      </c>
      <c r="K83" s="3">
        <f t="shared" si="46"/>
        <v>45</v>
      </c>
      <c r="L83" t="e">
        <f t="shared" si="47"/>
        <v>#DIV/0!</v>
      </c>
      <c r="M83" s="60" t="e">
        <f>L83/dose!$O$31</f>
        <v>#DIV/0!</v>
      </c>
    </row>
    <row r="84" spans="1:13" x14ac:dyDescent="0.2">
      <c r="A84" s="4"/>
      <c r="E84" s="4"/>
      <c r="F84" s="4"/>
      <c r="G84" s="9"/>
    </row>
    <row r="85" spans="1:13" ht="51" customHeight="1" x14ac:dyDescent="0.2">
      <c r="A85" s="2" t="s">
        <v>52</v>
      </c>
      <c r="B85" s="131" t="s">
        <v>30</v>
      </c>
      <c r="C85" s="131"/>
      <c r="D85" s="5" t="s">
        <v>0</v>
      </c>
      <c r="E85" s="5" t="s">
        <v>3</v>
      </c>
      <c r="F85" s="5" t="s">
        <v>1</v>
      </c>
      <c r="G85" s="8" t="s">
        <v>2</v>
      </c>
      <c r="H85" s="130" t="s">
        <v>21</v>
      </c>
      <c r="I85" s="130"/>
      <c r="J85" s="40" t="s">
        <v>20</v>
      </c>
      <c r="K85" s="5" t="s">
        <v>27</v>
      </c>
      <c r="L85" s="5" t="s">
        <v>28</v>
      </c>
      <c r="M85" s="59" t="s">
        <v>17</v>
      </c>
    </row>
    <row r="86" spans="1:13" x14ac:dyDescent="0.2">
      <c r="A86" s="4" t="s">
        <v>10</v>
      </c>
      <c r="B86">
        <v>0</v>
      </c>
      <c r="C86">
        <v>0</v>
      </c>
      <c r="D86">
        <f>AVERAGE(B86:C86)</f>
        <v>0</v>
      </c>
      <c r="E86" s="4">
        <v>1</v>
      </c>
      <c r="F86" s="4">
        <f>1765.7-1727.3</f>
        <v>38.400000000000091</v>
      </c>
      <c r="G86" s="9" t="e">
        <f>LOG10(D86*100*E86/F86*1000)</f>
        <v>#NUM!</v>
      </c>
      <c r="H86" s="3">
        <v>9</v>
      </c>
      <c r="I86" s="3">
        <v>13</v>
      </c>
      <c r="J86" s="3">
        <v>10000</v>
      </c>
      <c r="K86" s="3">
        <f>AVERAGE(H86:I86)</f>
        <v>11</v>
      </c>
      <c r="L86" t="e">
        <f>(J86*K86)/(D86*E86)</f>
        <v>#DIV/0!</v>
      </c>
      <c r="M86" s="60" t="e">
        <f>L86/dose!$O$31</f>
        <v>#DIV/0!</v>
      </c>
    </row>
    <row r="87" spans="1:13" x14ac:dyDescent="0.2">
      <c r="A87" s="4" t="s">
        <v>11</v>
      </c>
      <c r="B87">
        <v>0</v>
      </c>
      <c r="D87">
        <f t="shared" ref="D87:D90" si="49">AVERAGE(B87:C87)</f>
        <v>0</v>
      </c>
      <c r="E87" s="4">
        <v>1</v>
      </c>
      <c r="F87" s="4">
        <f>1767.2-1730.8</f>
        <v>36.400000000000091</v>
      </c>
      <c r="G87" s="9" t="e">
        <f>LOG10(D87*100*E87/F87*1000)</f>
        <v>#NUM!</v>
      </c>
      <c r="H87" s="3">
        <v>23</v>
      </c>
      <c r="J87" s="3">
        <v>10000</v>
      </c>
      <c r="K87" s="3">
        <f t="shared" ref="K87:K90" si="50">AVERAGE(H87:I87)</f>
        <v>23</v>
      </c>
      <c r="L87" t="e">
        <f t="shared" ref="L87:L90" si="51">(J87*K87)/(D87*E87)</f>
        <v>#DIV/0!</v>
      </c>
      <c r="M87" s="60" t="e">
        <f>L87/dose!$O$31</f>
        <v>#DIV/0!</v>
      </c>
    </row>
    <row r="88" spans="1:13" x14ac:dyDescent="0.2">
      <c r="A88" s="4" t="s">
        <v>8</v>
      </c>
      <c r="B88">
        <v>0</v>
      </c>
      <c r="D88">
        <f t="shared" si="49"/>
        <v>0</v>
      </c>
      <c r="E88" s="4">
        <v>1</v>
      </c>
      <c r="F88" s="4">
        <f>1813.6-1725.4</f>
        <v>88.199999999999818</v>
      </c>
      <c r="G88" s="9" t="e">
        <f t="shared" ref="G88:G90" si="52">LOG10(D88*100*E88/F88*1000)</f>
        <v>#NUM!</v>
      </c>
      <c r="H88" s="3">
        <v>51</v>
      </c>
      <c r="J88" s="3">
        <v>1000</v>
      </c>
      <c r="K88" s="3">
        <f t="shared" si="50"/>
        <v>51</v>
      </c>
      <c r="L88" t="e">
        <f t="shared" si="51"/>
        <v>#DIV/0!</v>
      </c>
      <c r="M88" s="60" t="e">
        <f>L88/dose!$O$31</f>
        <v>#DIV/0!</v>
      </c>
    </row>
    <row r="89" spans="1:13" x14ac:dyDescent="0.2">
      <c r="A89" s="4" t="s">
        <v>13</v>
      </c>
      <c r="B89">
        <v>0</v>
      </c>
      <c r="D89">
        <f t="shared" si="49"/>
        <v>0</v>
      </c>
      <c r="E89" s="4">
        <v>1</v>
      </c>
      <c r="F89" s="4">
        <f>1787.1-1727</f>
        <v>60.099999999999909</v>
      </c>
      <c r="G89" s="9" t="e">
        <f t="shared" si="52"/>
        <v>#NUM!</v>
      </c>
      <c r="H89" s="3">
        <v>24</v>
      </c>
      <c r="J89" s="3">
        <v>1000</v>
      </c>
      <c r="K89" s="3">
        <f t="shared" si="50"/>
        <v>24</v>
      </c>
      <c r="L89" t="e">
        <f t="shared" si="51"/>
        <v>#DIV/0!</v>
      </c>
      <c r="M89" s="60" t="e">
        <f>L89/dose!$O$31</f>
        <v>#DIV/0!</v>
      </c>
    </row>
    <row r="90" spans="1:13" ht="17" x14ac:dyDescent="0.2">
      <c r="A90" s="5" t="s">
        <v>12</v>
      </c>
      <c r="B90" s="7">
        <v>0</v>
      </c>
      <c r="C90" s="7"/>
      <c r="D90">
        <f t="shared" si="49"/>
        <v>0</v>
      </c>
      <c r="E90" s="5">
        <v>1</v>
      </c>
      <c r="F90" s="5">
        <f>1805.6-1737.7</f>
        <v>67.899999999999864</v>
      </c>
      <c r="G90" s="9" t="e">
        <f t="shared" si="52"/>
        <v>#NUM!</v>
      </c>
      <c r="H90" s="3">
        <v>15</v>
      </c>
      <c r="J90" s="3">
        <v>100</v>
      </c>
      <c r="K90" s="3">
        <f t="shared" si="50"/>
        <v>15</v>
      </c>
      <c r="L90" t="e">
        <f t="shared" si="51"/>
        <v>#DIV/0!</v>
      </c>
      <c r="M90" s="60" t="e">
        <f>L90/dose!$O$31</f>
        <v>#DIV/0!</v>
      </c>
    </row>
    <row r="91" spans="1:13" x14ac:dyDescent="0.2">
      <c r="A91" s="4"/>
      <c r="E91" s="4"/>
      <c r="F91" s="4"/>
      <c r="G91" s="9"/>
    </row>
    <row r="92" spans="1:13" ht="51" customHeight="1" x14ac:dyDescent="0.2">
      <c r="A92" s="2" t="s">
        <v>53</v>
      </c>
      <c r="B92" s="131" t="s">
        <v>30</v>
      </c>
      <c r="C92" s="131"/>
      <c r="D92" s="5" t="s">
        <v>0</v>
      </c>
      <c r="E92" s="5" t="s">
        <v>3</v>
      </c>
      <c r="F92" s="5" t="s">
        <v>1</v>
      </c>
      <c r="G92" s="8" t="s">
        <v>2</v>
      </c>
      <c r="H92" s="130" t="s">
        <v>21</v>
      </c>
      <c r="I92" s="130"/>
      <c r="J92" s="40" t="s">
        <v>20</v>
      </c>
      <c r="K92" s="5" t="s">
        <v>27</v>
      </c>
      <c r="L92" s="5" t="s">
        <v>28</v>
      </c>
      <c r="M92" s="59" t="s">
        <v>17</v>
      </c>
    </row>
    <row r="93" spans="1:13" x14ac:dyDescent="0.2">
      <c r="A93" s="4" t="s">
        <v>10</v>
      </c>
      <c r="B93">
        <v>0</v>
      </c>
      <c r="C93">
        <v>1</v>
      </c>
      <c r="D93">
        <f>AVERAGE(B93:C93)</f>
        <v>0.5</v>
      </c>
      <c r="E93" s="4">
        <v>1</v>
      </c>
      <c r="F93" s="4">
        <f>1825.4-1806.9</f>
        <v>18.5</v>
      </c>
      <c r="G93" s="9">
        <f>LOG10(D93*100*E93/F93*1000)</f>
        <v>3.431798275933005</v>
      </c>
      <c r="H93" s="3">
        <v>22</v>
      </c>
      <c r="I93" s="3">
        <v>26</v>
      </c>
      <c r="J93" s="3">
        <v>1000</v>
      </c>
      <c r="K93" s="3">
        <f>AVERAGE(H93:I93)</f>
        <v>24</v>
      </c>
      <c r="L93">
        <f>(J93*K93)/(D93*E93)</f>
        <v>48000</v>
      </c>
      <c r="M93" s="60">
        <f>L93/dose!$O$31</f>
        <v>81230.76923076922</v>
      </c>
    </row>
    <row r="94" spans="1:13" x14ac:dyDescent="0.2">
      <c r="A94" s="4" t="s">
        <v>11</v>
      </c>
      <c r="B94">
        <v>2</v>
      </c>
      <c r="D94">
        <f t="shared" ref="D94:D97" si="53">AVERAGE(B94:C94)</f>
        <v>2</v>
      </c>
      <c r="E94" s="4">
        <v>1</v>
      </c>
      <c r="F94" s="4">
        <f>1767.7-1730</f>
        <v>37.700000000000045</v>
      </c>
      <c r="G94" s="9">
        <f>LOG10(D94*100*E94/F94*1000)</f>
        <v>3.7246886454581878</v>
      </c>
      <c r="H94" s="3">
        <v>17</v>
      </c>
      <c r="J94" s="3">
        <v>10000</v>
      </c>
      <c r="K94" s="3">
        <f t="shared" ref="K94:K97" si="54">AVERAGE(H94:I94)</f>
        <v>17</v>
      </c>
      <c r="L94">
        <f t="shared" ref="L94:L97" si="55">(J94*K94)/(D94*E94)</f>
        <v>85000</v>
      </c>
      <c r="M94" s="60">
        <f>L94/dose!$O$31</f>
        <v>143846.15384615384</v>
      </c>
    </row>
    <row r="95" spans="1:13" x14ac:dyDescent="0.2">
      <c r="A95" s="4" t="s">
        <v>8</v>
      </c>
      <c r="B95">
        <v>2</v>
      </c>
      <c r="D95">
        <f t="shared" si="53"/>
        <v>2</v>
      </c>
      <c r="E95" s="4">
        <v>1</v>
      </c>
      <c r="F95" s="4">
        <f>1813.5-1725.1</f>
        <v>88.400000000000091</v>
      </c>
      <c r="G95" s="9">
        <f t="shared" ref="G95:G97" si="56">LOG10(D95*100*E95/F95*1000)</f>
        <v>3.3545777306509077</v>
      </c>
      <c r="H95" s="3">
        <v>14</v>
      </c>
      <c r="J95" s="3">
        <v>1000</v>
      </c>
      <c r="K95" s="3">
        <f t="shared" si="54"/>
        <v>14</v>
      </c>
      <c r="L95">
        <f t="shared" si="55"/>
        <v>7000</v>
      </c>
      <c r="M95" s="60">
        <f>L95/dose!$O$31</f>
        <v>11846.153846153846</v>
      </c>
    </row>
    <row r="96" spans="1:13" x14ac:dyDescent="0.2">
      <c r="A96" s="4" t="s">
        <v>13</v>
      </c>
      <c r="B96">
        <v>0</v>
      </c>
      <c r="D96">
        <f t="shared" si="53"/>
        <v>0</v>
      </c>
      <c r="E96" s="4">
        <v>1</v>
      </c>
      <c r="F96" s="4">
        <f>1821.9-1796.9</f>
        <v>25</v>
      </c>
      <c r="G96" s="9" t="e">
        <f t="shared" si="56"/>
        <v>#NUM!</v>
      </c>
      <c r="H96" s="3">
        <v>15</v>
      </c>
      <c r="J96" s="3">
        <v>1000</v>
      </c>
      <c r="K96" s="3">
        <f t="shared" si="54"/>
        <v>15</v>
      </c>
      <c r="L96" t="e">
        <f t="shared" si="55"/>
        <v>#DIV/0!</v>
      </c>
      <c r="M96" s="60" t="e">
        <f>L96/dose!$O$31</f>
        <v>#DIV/0!</v>
      </c>
    </row>
    <row r="97" spans="1:13" ht="17" x14ac:dyDescent="0.2">
      <c r="A97" s="5" t="s">
        <v>12</v>
      </c>
      <c r="B97" s="7">
        <v>0</v>
      </c>
      <c r="C97" s="7"/>
      <c r="D97">
        <f t="shared" si="53"/>
        <v>0</v>
      </c>
      <c r="E97" s="5">
        <v>1</v>
      </c>
      <c r="F97" s="5">
        <f>1935.8-1875.8</f>
        <v>60</v>
      </c>
      <c r="G97" s="9" t="e">
        <f t="shared" si="56"/>
        <v>#NUM!</v>
      </c>
      <c r="H97" s="3">
        <v>13</v>
      </c>
      <c r="J97" s="3">
        <v>100</v>
      </c>
      <c r="K97" s="3">
        <f t="shared" si="54"/>
        <v>13</v>
      </c>
      <c r="L97" t="e">
        <f t="shared" si="55"/>
        <v>#DIV/0!</v>
      </c>
      <c r="M97" s="60" t="e">
        <f>L97/dose!$O$31</f>
        <v>#DIV/0!</v>
      </c>
    </row>
    <row r="98" spans="1:13" x14ac:dyDescent="0.2">
      <c r="A98" s="4"/>
      <c r="E98" s="4"/>
      <c r="F98" s="4"/>
      <c r="G98" s="9"/>
    </row>
    <row r="99" spans="1:13" ht="51" customHeight="1" x14ac:dyDescent="0.2">
      <c r="A99" s="2" t="s">
        <v>54</v>
      </c>
      <c r="B99" s="131" t="s">
        <v>30</v>
      </c>
      <c r="C99" s="131"/>
      <c r="D99" s="5" t="s">
        <v>0</v>
      </c>
      <c r="E99" s="5" t="s">
        <v>3</v>
      </c>
      <c r="F99" s="5" t="s">
        <v>1</v>
      </c>
      <c r="G99" s="8" t="s">
        <v>2</v>
      </c>
      <c r="H99" s="130" t="s">
        <v>21</v>
      </c>
      <c r="I99" s="130"/>
      <c r="J99" s="40" t="s">
        <v>20</v>
      </c>
      <c r="K99" s="5" t="s">
        <v>27</v>
      </c>
      <c r="L99" s="5" t="s">
        <v>28</v>
      </c>
      <c r="M99" s="59" t="s">
        <v>17</v>
      </c>
    </row>
    <row r="100" spans="1:13" x14ac:dyDescent="0.2">
      <c r="A100" s="4" t="s">
        <v>10</v>
      </c>
      <c r="B100">
        <v>5</v>
      </c>
      <c r="C100">
        <v>4</v>
      </c>
      <c r="D100">
        <f>AVERAGE(B100:C100)</f>
        <v>4.5</v>
      </c>
      <c r="E100" s="4">
        <v>1</v>
      </c>
      <c r="F100" s="4">
        <f>1814.8-1796.4</f>
        <v>18.399999999999864</v>
      </c>
      <c r="G100" s="9">
        <f>LOG10(D100*100*E100/F100*1000)</f>
        <v>4.3883946907658107</v>
      </c>
      <c r="H100" s="3">
        <v>52</v>
      </c>
      <c r="I100" s="3">
        <v>54</v>
      </c>
      <c r="J100" s="3">
        <v>1000</v>
      </c>
      <c r="K100" s="3">
        <f>AVERAGE(H100:I100)</f>
        <v>53</v>
      </c>
      <c r="L100">
        <f>(J100*K100)/(D100*E100)</f>
        <v>11777.777777777777</v>
      </c>
      <c r="M100" s="60">
        <f>L100/dose!$O$31</f>
        <v>19931.62393162393</v>
      </c>
    </row>
    <row r="101" spans="1:13" x14ac:dyDescent="0.2">
      <c r="A101" s="4" t="s">
        <v>11</v>
      </c>
      <c r="B101">
        <v>5</v>
      </c>
      <c r="D101">
        <f t="shared" ref="D101:D104" si="57">AVERAGE(B101:C101)</f>
        <v>5</v>
      </c>
      <c r="E101" s="4">
        <v>1</v>
      </c>
      <c r="F101" s="4">
        <f>1742.8-1730.4</f>
        <v>12.399999999999864</v>
      </c>
      <c r="G101" s="9">
        <f>LOG10(D101*100*E101/F101*1000)</f>
        <v>4.6055483191737885</v>
      </c>
      <c r="H101" s="3">
        <v>27</v>
      </c>
      <c r="J101" s="3">
        <v>1000</v>
      </c>
      <c r="K101" s="3">
        <f t="shared" ref="K101:K102" si="58">AVERAGE(H101:I101)</f>
        <v>27</v>
      </c>
      <c r="L101">
        <f t="shared" ref="L101:L104" si="59">(J101*K101)/(D101*E101)</f>
        <v>5400</v>
      </c>
      <c r="M101" s="60">
        <f>L101/dose!$O$31</f>
        <v>9138.4615384615372</v>
      </c>
    </row>
    <row r="102" spans="1:13" x14ac:dyDescent="0.2">
      <c r="A102" s="4" t="s">
        <v>8</v>
      </c>
      <c r="B102">
        <v>11</v>
      </c>
      <c r="D102">
        <f t="shared" si="57"/>
        <v>11</v>
      </c>
      <c r="E102" s="4">
        <v>1</v>
      </c>
      <c r="F102" s="4">
        <f>1753.7-1723.9</f>
        <v>29.799999999999955</v>
      </c>
      <c r="G102" s="9">
        <f>LOG10(D102*100*E102/F102*1000)</f>
        <v>4.5671764210819701</v>
      </c>
      <c r="H102" s="3">
        <v>50</v>
      </c>
      <c r="J102" s="3">
        <v>1000</v>
      </c>
      <c r="K102" s="3">
        <f t="shared" si="58"/>
        <v>50</v>
      </c>
      <c r="L102">
        <f t="shared" si="59"/>
        <v>4545.454545454545</v>
      </c>
      <c r="M102" s="60">
        <f>L102/dose!$O$31</f>
        <v>7692.3076923076915</v>
      </c>
    </row>
    <row r="103" spans="1:13" x14ac:dyDescent="0.2">
      <c r="A103" s="4" t="s">
        <v>13</v>
      </c>
      <c r="B103">
        <v>6</v>
      </c>
      <c r="D103">
        <f t="shared" si="57"/>
        <v>6</v>
      </c>
      <c r="E103" s="4">
        <v>1</v>
      </c>
      <c r="F103" s="4">
        <f>1753.7-1723.9</f>
        <v>29.799999999999955</v>
      </c>
      <c r="G103" s="9">
        <f t="shared" ref="G103:G104" si="60">LOG10(D103*100*E103/F103*1000)</f>
        <v>4.3039349863073895</v>
      </c>
      <c r="H103" s="3">
        <v>38</v>
      </c>
      <c r="J103" s="3">
        <v>1000</v>
      </c>
      <c r="K103" s="3">
        <f>AVERAGE(H103:I103)</f>
        <v>38</v>
      </c>
      <c r="L103">
        <f t="shared" si="59"/>
        <v>6333.333333333333</v>
      </c>
      <c r="M103" s="60">
        <f>L103/dose!$O$31</f>
        <v>10717.948717948717</v>
      </c>
    </row>
    <row r="104" spans="1:13" ht="17" x14ac:dyDescent="0.2">
      <c r="A104" s="5" t="s">
        <v>12</v>
      </c>
      <c r="B104" s="7">
        <v>0</v>
      </c>
      <c r="C104" s="7"/>
      <c r="D104">
        <f t="shared" si="57"/>
        <v>0</v>
      </c>
      <c r="E104" s="5">
        <v>1</v>
      </c>
      <c r="F104" s="5">
        <f>1691.1-1660.6</f>
        <v>30.5</v>
      </c>
      <c r="G104" s="9" t="e">
        <f t="shared" si="60"/>
        <v>#NUM!</v>
      </c>
      <c r="H104" s="3">
        <v>39</v>
      </c>
      <c r="J104" s="3">
        <v>10</v>
      </c>
      <c r="K104" s="3">
        <f t="shared" ref="K104" si="61">AVERAGE(H104:I104)</f>
        <v>39</v>
      </c>
      <c r="L104" t="e">
        <f t="shared" si="59"/>
        <v>#DIV/0!</v>
      </c>
      <c r="M104" s="60" t="e">
        <f>L104/dose!$O$31</f>
        <v>#DIV/0!</v>
      </c>
    </row>
    <row r="105" spans="1:13" s="23" customFormat="1" x14ac:dyDescent="0.2">
      <c r="A105" s="62"/>
      <c r="B105" s="63"/>
      <c r="C105" s="63"/>
      <c r="D105" s="64"/>
      <c r="E105" s="64"/>
      <c r="F105" s="64"/>
      <c r="G105" s="65"/>
      <c r="H105" s="66"/>
      <c r="I105" s="66"/>
      <c r="J105" s="66"/>
      <c r="M105" s="61"/>
    </row>
    <row r="106" spans="1:13" ht="51" customHeight="1" x14ac:dyDescent="0.2">
      <c r="A106" s="2" t="s">
        <v>33</v>
      </c>
      <c r="B106" s="131" t="s">
        <v>38</v>
      </c>
      <c r="C106" s="131"/>
      <c r="D106" s="5" t="s">
        <v>0</v>
      </c>
      <c r="E106" s="5" t="s">
        <v>3</v>
      </c>
      <c r="F106" s="5" t="s">
        <v>1</v>
      </c>
      <c r="G106" s="8" t="s">
        <v>2</v>
      </c>
      <c r="H106" s="130"/>
      <c r="I106" s="130"/>
      <c r="J106" s="40"/>
      <c r="K106" s="5"/>
      <c r="L106" s="5"/>
      <c r="M106" s="59"/>
    </row>
    <row r="107" spans="1:13" x14ac:dyDescent="0.2">
      <c r="A107" s="4" t="s">
        <v>10</v>
      </c>
      <c r="B107">
        <v>41</v>
      </c>
      <c r="C107">
        <v>33</v>
      </c>
      <c r="D107">
        <f>AVERAGE(B107:C107)</f>
        <v>37</v>
      </c>
      <c r="E107" s="4">
        <v>1000</v>
      </c>
      <c r="F107" s="4">
        <f>1818-1799.5</f>
        <v>18.5</v>
      </c>
      <c r="G107" s="9">
        <f>LOG10(D107*100*E107/F107*1000)</f>
        <v>8.3010299956639813</v>
      </c>
      <c r="K107" s="3"/>
    </row>
    <row r="108" spans="1:13" x14ac:dyDescent="0.2">
      <c r="A108" s="4" t="s">
        <v>11</v>
      </c>
      <c r="B108">
        <v>16</v>
      </c>
      <c r="C108">
        <v>25</v>
      </c>
      <c r="D108">
        <f t="shared" ref="D108:D111" si="62">AVERAGE(B108:C108)</f>
        <v>20.5</v>
      </c>
      <c r="E108" s="4">
        <v>1000</v>
      </c>
      <c r="F108" s="4">
        <f>1740.2-1723.6</f>
        <v>16.600000000000136</v>
      </c>
      <c r="G108" s="9">
        <f>LOG10(D108*100*E108/F108*1000)</f>
        <v>8.0916457730156957</v>
      </c>
      <c r="K108" s="3"/>
    </row>
    <row r="109" spans="1:13" x14ac:dyDescent="0.2">
      <c r="A109" s="4" t="s">
        <v>8</v>
      </c>
      <c r="B109">
        <v>40</v>
      </c>
      <c r="C109">
        <v>3</v>
      </c>
      <c r="D109">
        <f t="shared" si="62"/>
        <v>21.5</v>
      </c>
      <c r="E109" s="4">
        <v>1000</v>
      </c>
      <c r="F109" s="4">
        <f>1863.1-1819.9</f>
        <v>43.199999999999818</v>
      </c>
      <c r="G109" s="9">
        <f t="shared" ref="G109:G111" si="63">LOG10(D109*100*E109/F109*1000)</f>
        <v>7.6969547131006948</v>
      </c>
      <c r="K109" s="3"/>
    </row>
    <row r="110" spans="1:13" x14ac:dyDescent="0.2">
      <c r="A110" s="4" t="s">
        <v>13</v>
      </c>
      <c r="B110">
        <v>12</v>
      </c>
      <c r="C110">
        <v>3</v>
      </c>
      <c r="D110">
        <f t="shared" si="62"/>
        <v>7.5</v>
      </c>
      <c r="E110" s="4">
        <v>1000</v>
      </c>
      <c r="F110" s="4">
        <f>1819.7-1741.2</f>
        <v>78.5</v>
      </c>
      <c r="G110" s="9">
        <f t="shared" si="63"/>
        <v>6.9801916066464473</v>
      </c>
      <c r="K110" s="3"/>
    </row>
    <row r="111" spans="1:13" ht="17" x14ac:dyDescent="0.2">
      <c r="A111" s="5" t="s">
        <v>12</v>
      </c>
      <c r="B111" s="7">
        <v>5</v>
      </c>
      <c r="C111" s="7">
        <v>3</v>
      </c>
      <c r="D111">
        <f t="shared" si="62"/>
        <v>4</v>
      </c>
      <c r="E111" s="5">
        <v>1</v>
      </c>
      <c r="F111" s="5">
        <f>1847.7-1730.4</f>
        <v>117.29999999999995</v>
      </c>
      <c r="G111" s="9">
        <f t="shared" si="63"/>
        <v>3.5327619792124332</v>
      </c>
      <c r="K111" s="3"/>
    </row>
    <row r="112" spans="1:13" x14ac:dyDescent="0.2">
      <c r="A112" s="4"/>
      <c r="E112" s="4"/>
      <c r="F112" s="4"/>
      <c r="G112" s="9"/>
    </row>
    <row r="113" spans="1:13" ht="51" customHeight="1" x14ac:dyDescent="0.2">
      <c r="A113" s="2" t="s">
        <v>34</v>
      </c>
      <c r="B113" s="131" t="s">
        <v>38</v>
      </c>
      <c r="C113" s="131"/>
      <c r="D113" s="5" t="s">
        <v>0</v>
      </c>
      <c r="E113" s="5" t="s">
        <v>3</v>
      </c>
      <c r="F113" s="5" t="s">
        <v>1</v>
      </c>
      <c r="G113" s="8" t="s">
        <v>2</v>
      </c>
      <c r="H113" s="130"/>
      <c r="I113" s="130"/>
      <c r="J113" s="40"/>
      <c r="K113" s="5"/>
      <c r="L113" s="5"/>
      <c r="M113" s="59"/>
    </row>
    <row r="114" spans="1:13" x14ac:dyDescent="0.2">
      <c r="A114" s="4" t="s">
        <v>10</v>
      </c>
      <c r="B114">
        <v>13</v>
      </c>
      <c r="C114">
        <v>9</v>
      </c>
      <c r="D114">
        <f>AVERAGE(B114:C114)</f>
        <v>11</v>
      </c>
      <c r="E114" s="4">
        <v>100</v>
      </c>
      <c r="F114" s="4">
        <f>1808.7-1796.1</f>
        <v>12.600000000000136</v>
      </c>
      <c r="G114" s="9">
        <f>LOG10(D114*100*E114/F114*1000)</f>
        <v>6.9410221400406575</v>
      </c>
      <c r="K114" s="3"/>
    </row>
    <row r="115" spans="1:13" x14ac:dyDescent="0.2">
      <c r="A115" s="4" t="s">
        <v>11</v>
      </c>
      <c r="B115">
        <v>13</v>
      </c>
      <c r="C115">
        <v>14</v>
      </c>
      <c r="D115">
        <f t="shared" ref="D115:D118" si="64">AVERAGE(B115:C115)</f>
        <v>13.5</v>
      </c>
      <c r="E115" s="4">
        <v>10000</v>
      </c>
      <c r="F115" s="4">
        <f>1769.5-1728.7</f>
        <v>40.799999999999955</v>
      </c>
      <c r="G115" s="9">
        <f>LOG10(D115*100*E115/F115*1000)</f>
        <v>8.5196736054051261</v>
      </c>
      <c r="K115" s="3"/>
    </row>
    <row r="116" spans="1:13" x14ac:dyDescent="0.2">
      <c r="A116" s="4" t="s">
        <v>8</v>
      </c>
      <c r="B116">
        <v>4</v>
      </c>
      <c r="C116">
        <v>14</v>
      </c>
      <c r="D116">
        <f t="shared" si="64"/>
        <v>9</v>
      </c>
      <c r="E116" s="4">
        <v>1000</v>
      </c>
      <c r="F116" s="4">
        <f>1756.1-1729.7</f>
        <v>26.399999999999864</v>
      </c>
      <c r="G116" s="9">
        <f t="shared" ref="G116:G118" si="65">LOG10(D116*100*E116/F116*1000)</f>
        <v>7.5326385825694961</v>
      </c>
      <c r="K116" s="3"/>
    </row>
    <row r="117" spans="1:13" x14ac:dyDescent="0.2">
      <c r="A117" s="4" t="s">
        <v>13</v>
      </c>
      <c r="B117">
        <v>80</v>
      </c>
      <c r="C117">
        <v>83</v>
      </c>
      <c r="D117">
        <f t="shared" si="64"/>
        <v>81.5</v>
      </c>
      <c r="E117" s="4">
        <v>1</v>
      </c>
      <c r="F117" s="4">
        <f>1699.3-1665.9</f>
        <v>33.399999999999864</v>
      </c>
      <c r="G117" s="9">
        <f t="shared" si="65"/>
        <v>5.3874111419284141</v>
      </c>
      <c r="K117" s="3"/>
    </row>
    <row r="118" spans="1:13" ht="17" x14ac:dyDescent="0.2">
      <c r="A118" s="5" t="s">
        <v>12</v>
      </c>
      <c r="B118" s="7">
        <v>5</v>
      </c>
      <c r="C118" s="7">
        <v>3</v>
      </c>
      <c r="D118">
        <f t="shared" si="64"/>
        <v>4</v>
      </c>
      <c r="E118" s="5">
        <v>1</v>
      </c>
      <c r="F118" s="5">
        <f>1810.1-1740</f>
        <v>70.099999999999909</v>
      </c>
      <c r="G118" s="9">
        <f t="shared" si="65"/>
        <v>3.7563419733613044</v>
      </c>
      <c r="K118" s="3"/>
    </row>
    <row r="119" spans="1:13" x14ac:dyDescent="0.2">
      <c r="A119" s="4"/>
      <c r="E119" s="4"/>
      <c r="F119" s="4"/>
      <c r="G119" s="9"/>
    </row>
    <row r="120" spans="1:13" ht="51" customHeight="1" x14ac:dyDescent="0.2">
      <c r="A120" s="2" t="s">
        <v>35</v>
      </c>
      <c r="B120" s="131" t="s">
        <v>38</v>
      </c>
      <c r="C120" s="131"/>
      <c r="D120" s="5" t="s">
        <v>0</v>
      </c>
      <c r="E120" s="5" t="s">
        <v>3</v>
      </c>
      <c r="F120" s="5" t="s">
        <v>1</v>
      </c>
      <c r="G120" s="8" t="s">
        <v>2</v>
      </c>
      <c r="H120" s="130"/>
      <c r="I120" s="130"/>
      <c r="J120" s="40"/>
      <c r="K120" s="5"/>
      <c r="L120" s="5"/>
      <c r="M120" s="59"/>
    </row>
    <row r="121" spans="1:13" x14ac:dyDescent="0.2">
      <c r="A121" s="4" t="s">
        <v>10</v>
      </c>
      <c r="B121">
        <v>3</v>
      </c>
      <c r="C121">
        <v>12</v>
      </c>
      <c r="D121">
        <f>AVERAGE(B121:C121)</f>
        <v>7.5</v>
      </c>
      <c r="E121" s="4">
        <v>1000</v>
      </c>
      <c r="F121" s="4">
        <f>1831.4-1802.9</f>
        <v>28.5</v>
      </c>
      <c r="G121" s="9">
        <f>LOG10(D121*100*E121/F121*1000)</f>
        <v>7.4202164033831899</v>
      </c>
      <c r="K121" s="3"/>
    </row>
    <row r="122" spans="1:13" x14ac:dyDescent="0.2">
      <c r="A122" s="4" t="s">
        <v>11</v>
      </c>
      <c r="B122">
        <v>16</v>
      </c>
      <c r="C122">
        <v>14</v>
      </c>
      <c r="D122">
        <f t="shared" ref="D122:D125" si="66">AVERAGE(B122:C122)</f>
        <v>15</v>
      </c>
      <c r="E122" s="4">
        <v>10000</v>
      </c>
      <c r="F122" s="4">
        <f>1763.2-1721.7</f>
        <v>41.5</v>
      </c>
      <c r="G122" s="9">
        <f>LOG10(D122*100*E122/F122*1000)</f>
        <v>8.5580431623435889</v>
      </c>
      <c r="K122" s="3"/>
    </row>
    <row r="123" spans="1:13" x14ac:dyDescent="0.2">
      <c r="A123" s="4" t="s">
        <v>8</v>
      </c>
      <c r="B123">
        <v>54</v>
      </c>
      <c r="C123">
        <v>44</v>
      </c>
      <c r="D123">
        <f t="shared" si="66"/>
        <v>49</v>
      </c>
      <c r="E123" s="4">
        <v>1000</v>
      </c>
      <c r="F123" s="4">
        <f>1817.8-1800.2</f>
        <v>17.599999999999909</v>
      </c>
      <c r="G123" s="9">
        <f t="shared" ref="G123:G124" si="67">LOG10(D123*100*E123/F123*1000)</f>
        <v>8.4446834122143652</v>
      </c>
      <c r="K123" s="3"/>
    </row>
    <row r="124" spans="1:13" x14ac:dyDescent="0.2">
      <c r="A124" s="4" t="s">
        <v>13</v>
      </c>
      <c r="B124">
        <v>32</v>
      </c>
      <c r="D124">
        <f t="shared" si="66"/>
        <v>32</v>
      </c>
      <c r="E124" s="4">
        <v>100</v>
      </c>
      <c r="F124" s="4">
        <f>1865.1-1804.5</f>
        <v>60.599999999999909</v>
      </c>
      <c r="G124" s="9">
        <f t="shared" si="67"/>
        <v>6.7226773541536202</v>
      </c>
      <c r="K124" s="3"/>
    </row>
    <row r="125" spans="1:13" ht="17" x14ac:dyDescent="0.2">
      <c r="A125" s="5" t="s">
        <v>12</v>
      </c>
      <c r="B125" s="7">
        <v>7</v>
      </c>
      <c r="C125" s="7">
        <v>13</v>
      </c>
      <c r="D125">
        <f t="shared" si="66"/>
        <v>10</v>
      </c>
      <c r="E125" s="5">
        <v>1</v>
      </c>
      <c r="F125" s="5">
        <f>1812.4-1731.8</f>
        <v>80.600000000000136</v>
      </c>
      <c r="G125" s="9">
        <f>LOG10(D125*100*E125/F125*1000)</f>
        <v>4.0936649581949087</v>
      </c>
      <c r="K125" s="3"/>
    </row>
    <row r="126" spans="1:13" x14ac:dyDescent="0.2">
      <c r="A126" s="4"/>
      <c r="E126" s="4"/>
      <c r="F126" s="4"/>
      <c r="G126" s="9"/>
    </row>
    <row r="127" spans="1:13" ht="51" customHeight="1" x14ac:dyDescent="0.2">
      <c r="A127" s="2" t="s">
        <v>36</v>
      </c>
      <c r="B127" s="131" t="s">
        <v>38</v>
      </c>
      <c r="C127" s="131"/>
      <c r="D127" s="5" t="s">
        <v>0</v>
      </c>
      <c r="E127" s="5" t="s">
        <v>3</v>
      </c>
      <c r="F127" s="5" t="s">
        <v>1</v>
      </c>
      <c r="G127" s="8" t="s">
        <v>2</v>
      </c>
      <c r="H127" s="130"/>
      <c r="I127" s="130"/>
      <c r="J127" s="40"/>
      <c r="K127" s="5"/>
      <c r="L127" s="5"/>
      <c r="M127" s="59"/>
    </row>
    <row r="128" spans="1:13" x14ac:dyDescent="0.2">
      <c r="A128" s="4" t="s">
        <v>10</v>
      </c>
      <c r="B128">
        <v>27</v>
      </c>
      <c r="C128">
        <v>16</v>
      </c>
      <c r="D128">
        <f>AVERAGE(B128:C128)</f>
        <v>21.5</v>
      </c>
      <c r="E128" s="4">
        <v>100</v>
      </c>
      <c r="F128" s="4">
        <f>1758.1-1728.4</f>
        <v>29.699999999999818</v>
      </c>
      <c r="G128" s="9">
        <f>LOG10(D128*100*E128/F128*1000)</f>
        <v>6.8596820105983953</v>
      </c>
      <c r="K128" s="3"/>
    </row>
    <row r="129" spans="1:13" x14ac:dyDescent="0.2">
      <c r="A129" s="4" t="s">
        <v>11</v>
      </c>
      <c r="B129">
        <v>20</v>
      </c>
      <c r="C129">
        <v>24</v>
      </c>
      <c r="D129">
        <f t="shared" ref="D129:D132" si="68">AVERAGE(B129:C129)</f>
        <v>22</v>
      </c>
      <c r="E129" s="4">
        <v>1000</v>
      </c>
      <c r="F129" s="4">
        <f>1776.7-1754.1</f>
        <v>22.600000000000136</v>
      </c>
      <c r="G129" s="9">
        <f>LOG10(D129*100*E129/F129*1000)</f>
        <v>7.9883142416748028</v>
      </c>
      <c r="K129" s="3"/>
    </row>
    <row r="130" spans="1:13" ht="17" customHeight="1" x14ac:dyDescent="0.2">
      <c r="A130" s="4" t="s">
        <v>8</v>
      </c>
      <c r="B130">
        <v>9</v>
      </c>
      <c r="C130">
        <v>11</v>
      </c>
      <c r="D130">
        <f t="shared" si="68"/>
        <v>10</v>
      </c>
      <c r="E130" s="4">
        <v>1000</v>
      </c>
      <c r="F130" s="4">
        <f>1867.6-1814.2</f>
        <v>53.399999999999864</v>
      </c>
      <c r="G130" s="9">
        <f t="shared" ref="G130:G131" si="69">LOG10(D130*100*E130/F130*1000)</f>
        <v>7.2724587429714447</v>
      </c>
      <c r="K130" s="3"/>
    </row>
    <row r="131" spans="1:13" x14ac:dyDescent="0.2">
      <c r="A131" s="4" t="s">
        <v>13</v>
      </c>
      <c r="B131">
        <v>46</v>
      </c>
      <c r="C131">
        <v>46</v>
      </c>
      <c r="D131">
        <f t="shared" si="68"/>
        <v>46</v>
      </c>
      <c r="E131" s="4">
        <v>1</v>
      </c>
      <c r="F131" s="4">
        <f>1888.1-1869</f>
        <v>19.099999999999909</v>
      </c>
      <c r="G131" s="9">
        <f t="shared" si="69"/>
        <v>5.3817244644338489</v>
      </c>
      <c r="K131" s="3"/>
    </row>
    <row r="132" spans="1:13" ht="17" x14ac:dyDescent="0.2">
      <c r="A132" s="5" t="s">
        <v>12</v>
      </c>
      <c r="B132" s="7">
        <v>4</v>
      </c>
      <c r="C132" s="7">
        <v>3</v>
      </c>
      <c r="D132">
        <f t="shared" si="68"/>
        <v>3.5</v>
      </c>
      <c r="E132" s="5">
        <v>1</v>
      </c>
      <c r="F132" s="5">
        <f>1865.1-1807.6</f>
        <v>57.5</v>
      </c>
      <c r="G132" s="9">
        <f>LOG10(D132*100*E132/F132*1000)</f>
        <v>3.7844001996606451</v>
      </c>
      <c r="K132" s="3"/>
    </row>
    <row r="133" spans="1:13" x14ac:dyDescent="0.2">
      <c r="A133" s="4"/>
      <c r="E133" s="4"/>
      <c r="F133" s="4"/>
      <c r="G133" s="9"/>
    </row>
    <row r="134" spans="1:13" ht="51" customHeight="1" x14ac:dyDescent="0.2">
      <c r="A134" s="2" t="s">
        <v>37</v>
      </c>
      <c r="B134" s="131" t="s">
        <v>38</v>
      </c>
      <c r="C134" s="131"/>
      <c r="D134" s="5" t="s">
        <v>0</v>
      </c>
      <c r="E134" s="5" t="s">
        <v>3</v>
      </c>
      <c r="F134" s="5" t="s">
        <v>1</v>
      </c>
      <c r="G134" s="8" t="s">
        <v>2</v>
      </c>
      <c r="H134" s="130"/>
      <c r="I134" s="130"/>
      <c r="J134" s="40"/>
      <c r="K134" s="5"/>
      <c r="L134" s="5"/>
      <c r="M134" s="59"/>
    </row>
    <row r="135" spans="1:13" x14ac:dyDescent="0.2">
      <c r="A135" s="4" t="s">
        <v>10</v>
      </c>
      <c r="B135">
        <v>28</v>
      </c>
      <c r="C135">
        <v>25</v>
      </c>
      <c r="D135">
        <f>AVERAGE(B135:C135)</f>
        <v>26.5</v>
      </c>
      <c r="E135" s="4">
        <v>1000</v>
      </c>
      <c r="F135" s="4">
        <f>1892.8-1867.4</f>
        <v>25.399999999999864</v>
      </c>
      <c r="G135" s="9">
        <f>LOG10(D135*100*E135/F135*1000)</f>
        <v>8.0184121573168721</v>
      </c>
      <c r="K135" s="3"/>
    </row>
    <row r="136" spans="1:13" x14ac:dyDescent="0.2">
      <c r="A136" s="4" t="s">
        <v>11</v>
      </c>
      <c r="B136">
        <v>6</v>
      </c>
      <c r="C136">
        <v>9</v>
      </c>
      <c r="D136">
        <f t="shared" ref="D136:D139" si="70">AVERAGE(B136:C136)</f>
        <v>7.5</v>
      </c>
      <c r="E136" s="4">
        <v>10000</v>
      </c>
      <c r="F136" s="4">
        <f>1755.3-1726.2</f>
        <v>29.099999999999909</v>
      </c>
      <c r="G136" s="9">
        <f>LOG10(D136*100*E136/F136*1000)</f>
        <v>8.4111682744057941</v>
      </c>
      <c r="K136" s="3"/>
    </row>
    <row r="137" spans="1:13" x14ac:dyDescent="0.2">
      <c r="A137" s="4" t="s">
        <v>8</v>
      </c>
      <c r="B137">
        <v>31</v>
      </c>
      <c r="C137">
        <v>17</v>
      </c>
      <c r="D137">
        <f t="shared" si="70"/>
        <v>24</v>
      </c>
      <c r="E137" s="4">
        <v>10000</v>
      </c>
      <c r="F137" s="4">
        <f>1757.9-1728.1</f>
        <v>29.800000000000182</v>
      </c>
      <c r="G137" s="9">
        <f t="shared" ref="G137:G138" si="71">LOG10(D137*100*E137/F137*1000)</f>
        <v>8.9059949776353484</v>
      </c>
      <c r="K137" s="3"/>
    </row>
    <row r="138" spans="1:13" x14ac:dyDescent="0.2">
      <c r="A138" s="4" t="s">
        <v>13</v>
      </c>
      <c r="B138">
        <v>33</v>
      </c>
      <c r="C138">
        <v>26</v>
      </c>
      <c r="D138">
        <f t="shared" si="70"/>
        <v>29.5</v>
      </c>
      <c r="E138" s="4">
        <v>1000</v>
      </c>
      <c r="F138" s="4">
        <f>1781.2-1662.9</f>
        <v>118.29999999999995</v>
      </c>
      <c r="G138" s="9">
        <f t="shared" si="71"/>
        <v>7.3968372713502326</v>
      </c>
      <c r="K138" s="3"/>
    </row>
    <row r="139" spans="1:13" ht="17" x14ac:dyDescent="0.2">
      <c r="A139" s="5" t="s">
        <v>12</v>
      </c>
      <c r="B139" s="7">
        <v>0</v>
      </c>
      <c r="C139" s="7">
        <v>1</v>
      </c>
      <c r="D139">
        <f t="shared" si="70"/>
        <v>0.5</v>
      </c>
      <c r="E139" s="5">
        <v>1</v>
      </c>
      <c r="F139" s="5">
        <f>1796.8-1722.9</f>
        <v>73.899999999999864</v>
      </c>
      <c r="G139" s="9">
        <f>LOG10(D139*100*E139/F139*1000)</f>
        <v>2.8303255659411941</v>
      </c>
      <c r="K139" s="3"/>
    </row>
    <row r="140" spans="1:13" s="23" customFormat="1" x14ac:dyDescent="0.2">
      <c r="A140" s="25"/>
      <c r="B140" s="26"/>
      <c r="C140" s="26"/>
      <c r="E140" s="25"/>
      <c r="F140" s="25"/>
      <c r="G140" s="24"/>
      <c r="H140" s="41"/>
      <c r="I140" s="41"/>
      <c r="J140" s="41"/>
      <c r="M140" s="61"/>
    </row>
    <row r="141" spans="1:13" x14ac:dyDescent="0.2">
      <c r="A141" s="2"/>
      <c r="B141" s="7"/>
      <c r="C141" s="7"/>
      <c r="D141" s="5"/>
      <c r="E141" s="5"/>
      <c r="F141" s="5"/>
      <c r="G141" s="8"/>
      <c r="H141" s="40"/>
      <c r="I141" s="40"/>
      <c r="J141" s="40"/>
    </row>
    <row r="142" spans="1:13" x14ac:dyDescent="0.2">
      <c r="A142" s="4"/>
      <c r="E142" s="4"/>
      <c r="F142" s="4"/>
      <c r="G142" s="9"/>
    </row>
    <row r="143" spans="1:13" x14ac:dyDescent="0.2">
      <c r="A143" s="4"/>
      <c r="E143" s="4"/>
      <c r="F143" s="4"/>
      <c r="G143" s="9"/>
    </row>
    <row r="144" spans="1:13" x14ac:dyDescent="0.2">
      <c r="A144" s="4"/>
      <c r="E144" s="4"/>
      <c r="F144" s="4"/>
      <c r="G144" s="9"/>
    </row>
    <row r="145" spans="1:10" x14ac:dyDescent="0.2">
      <c r="A145" s="4"/>
      <c r="E145" s="4"/>
      <c r="F145" s="4"/>
      <c r="G145" s="9"/>
    </row>
    <row r="146" spans="1:10" x14ac:dyDescent="0.2">
      <c r="A146" s="5"/>
      <c r="B146" s="7"/>
      <c r="C146" s="7"/>
      <c r="E146" s="5"/>
      <c r="F146" s="5"/>
      <c r="G146" s="9"/>
    </row>
    <row r="147" spans="1:10" x14ac:dyDescent="0.2">
      <c r="A147" s="4"/>
      <c r="E147" s="4"/>
      <c r="F147" s="4"/>
      <c r="G147" s="9"/>
    </row>
    <row r="148" spans="1:10" x14ac:dyDescent="0.2">
      <c r="A148" s="2"/>
      <c r="B148" s="7"/>
      <c r="C148" s="7"/>
      <c r="D148" s="5"/>
      <c r="E148" s="5"/>
      <c r="F148" s="5"/>
      <c r="G148" s="8"/>
      <c r="H148" s="40"/>
      <c r="I148" s="40"/>
      <c r="J148" s="40"/>
    </row>
    <row r="149" spans="1:10" x14ac:dyDescent="0.2">
      <c r="A149" s="4"/>
      <c r="E149" s="4"/>
      <c r="F149" s="4"/>
      <c r="G149" s="9"/>
    </row>
    <row r="150" spans="1:10" x14ac:dyDescent="0.2">
      <c r="A150" s="4"/>
      <c r="E150" s="4"/>
      <c r="F150" s="4"/>
      <c r="G150" s="9"/>
    </row>
    <row r="151" spans="1:10" x14ac:dyDescent="0.2">
      <c r="A151" s="4"/>
      <c r="E151" s="4"/>
      <c r="F151" s="4"/>
      <c r="G151" s="9"/>
    </row>
    <row r="152" spans="1:10" x14ac:dyDescent="0.2">
      <c r="A152" s="4"/>
      <c r="E152" s="4"/>
      <c r="F152" s="4"/>
      <c r="G152" s="9"/>
    </row>
    <row r="153" spans="1:10" x14ac:dyDescent="0.2">
      <c r="A153" s="5"/>
      <c r="B153" s="7"/>
      <c r="C153" s="7"/>
      <c r="E153" s="5"/>
      <c r="F153" s="5"/>
      <c r="G153" s="9"/>
    </row>
    <row r="154" spans="1:10" x14ac:dyDescent="0.2">
      <c r="A154" s="4"/>
      <c r="E154" s="4"/>
      <c r="F154" s="4"/>
      <c r="G154" s="9"/>
    </row>
    <row r="155" spans="1:10" x14ac:dyDescent="0.2">
      <c r="A155" s="2"/>
      <c r="B155" s="7"/>
      <c r="C155" s="7"/>
      <c r="D155" s="5"/>
      <c r="E155" s="5"/>
      <c r="F155" s="5"/>
      <c r="G155" s="8"/>
      <c r="H155" s="40"/>
      <c r="I155" s="40"/>
      <c r="J155" s="40"/>
    </row>
    <row r="156" spans="1:10" x14ac:dyDescent="0.2">
      <c r="A156" s="4"/>
      <c r="E156" s="4"/>
      <c r="F156" s="4"/>
      <c r="G156" s="9"/>
    </row>
    <row r="157" spans="1:10" x14ac:dyDescent="0.2">
      <c r="A157" s="4"/>
      <c r="E157" s="4"/>
      <c r="F157" s="4"/>
      <c r="G157" s="9"/>
    </row>
    <row r="158" spans="1:10" x14ac:dyDescent="0.2">
      <c r="A158" s="4"/>
      <c r="E158" s="4"/>
      <c r="F158" s="4"/>
      <c r="G158" s="9"/>
    </row>
    <row r="159" spans="1:10" x14ac:dyDescent="0.2">
      <c r="A159" s="4"/>
      <c r="E159" s="4"/>
      <c r="F159" s="4"/>
      <c r="G159" s="9"/>
    </row>
    <row r="160" spans="1:10" x14ac:dyDescent="0.2">
      <c r="A160" s="5"/>
      <c r="B160" s="7"/>
      <c r="C160" s="7"/>
      <c r="E160" s="5"/>
      <c r="F160" s="5"/>
      <c r="G160" s="9"/>
    </row>
    <row r="161" spans="1:10" x14ac:dyDescent="0.2">
      <c r="A161" s="4"/>
      <c r="E161" s="4"/>
      <c r="F161" s="4"/>
      <c r="G161" s="9"/>
    </row>
    <row r="162" spans="1:10" x14ac:dyDescent="0.2">
      <c r="A162" s="2"/>
      <c r="B162" s="7"/>
      <c r="C162" s="7"/>
      <c r="D162" s="5"/>
      <c r="E162" s="5"/>
      <c r="F162" s="5"/>
      <c r="G162" s="8"/>
      <c r="H162" s="40"/>
      <c r="I162" s="40"/>
      <c r="J162" s="40"/>
    </row>
    <row r="163" spans="1:10" x14ac:dyDescent="0.2">
      <c r="A163" s="4"/>
      <c r="E163" s="4"/>
      <c r="F163" s="4"/>
      <c r="G163" s="9"/>
    </row>
    <row r="164" spans="1:10" x14ac:dyDescent="0.2">
      <c r="A164" s="4"/>
      <c r="E164" s="4"/>
      <c r="F164" s="4"/>
      <c r="G164" s="9"/>
    </row>
    <row r="165" spans="1:10" x14ac:dyDescent="0.2">
      <c r="A165" s="4"/>
      <c r="E165" s="4"/>
      <c r="F165" s="4"/>
      <c r="G165" s="9"/>
    </row>
    <row r="166" spans="1:10" x14ac:dyDescent="0.2">
      <c r="A166" s="4"/>
      <c r="E166" s="4"/>
      <c r="F166" s="4"/>
      <c r="G166" s="9"/>
    </row>
    <row r="167" spans="1:10" x14ac:dyDescent="0.2">
      <c r="A167" s="5"/>
      <c r="B167" s="7"/>
      <c r="C167" s="7"/>
      <c r="E167" s="5"/>
      <c r="F167" s="5"/>
      <c r="G167" s="9"/>
    </row>
    <row r="168" spans="1:10" x14ac:dyDescent="0.2">
      <c r="A168" s="4"/>
      <c r="E168" s="4"/>
      <c r="F168" s="4"/>
      <c r="G168" s="9"/>
    </row>
    <row r="169" spans="1:10" x14ac:dyDescent="0.2">
      <c r="A169" s="2"/>
      <c r="B169" s="7"/>
      <c r="C169" s="7"/>
      <c r="D169" s="5"/>
      <c r="E169" s="5"/>
      <c r="F169" s="5"/>
      <c r="G169" s="8"/>
      <c r="H169" s="40"/>
      <c r="I169" s="40"/>
      <c r="J169" s="40"/>
    </row>
    <row r="170" spans="1:10" x14ac:dyDescent="0.2">
      <c r="A170" s="4"/>
      <c r="E170" s="4"/>
      <c r="F170" s="4"/>
      <c r="G170" s="9"/>
    </row>
    <row r="171" spans="1:10" x14ac:dyDescent="0.2">
      <c r="A171" s="4"/>
      <c r="E171" s="4"/>
      <c r="F171" s="4"/>
      <c r="G171" s="9"/>
    </row>
    <row r="172" spans="1:10" x14ac:dyDescent="0.2">
      <c r="A172" s="4"/>
      <c r="E172" s="4"/>
      <c r="F172" s="4"/>
      <c r="G172" s="9"/>
    </row>
    <row r="173" spans="1:10" x14ac:dyDescent="0.2">
      <c r="A173" s="4"/>
      <c r="E173" s="4"/>
      <c r="F173" s="4"/>
      <c r="G173" s="9"/>
    </row>
    <row r="174" spans="1:10" x14ac:dyDescent="0.2">
      <c r="A174" s="5"/>
      <c r="B174" s="7"/>
      <c r="C174" s="7"/>
      <c r="E174" s="5"/>
      <c r="F174" s="5"/>
      <c r="G174" s="9"/>
    </row>
    <row r="175" spans="1:10" x14ac:dyDescent="0.2">
      <c r="A175" s="4"/>
      <c r="B175" s="13"/>
      <c r="E175" s="4"/>
      <c r="F175" s="4"/>
      <c r="G175" s="9"/>
    </row>
    <row r="176" spans="1:10" x14ac:dyDescent="0.2">
      <c r="A176" s="5"/>
      <c r="B176" s="7"/>
      <c r="C176" s="7"/>
      <c r="D176" s="5"/>
      <c r="E176" s="5"/>
      <c r="F176" s="5"/>
      <c r="G176" s="9"/>
    </row>
    <row r="177" spans="1:10" x14ac:dyDescent="0.2">
      <c r="A177" s="2"/>
      <c r="B177" s="7"/>
      <c r="C177" s="7"/>
      <c r="D177" s="5"/>
      <c r="E177" s="5"/>
      <c r="F177" s="5"/>
      <c r="G177" s="8"/>
      <c r="H177" s="40"/>
      <c r="I177" s="40"/>
      <c r="J177" s="40"/>
    </row>
    <row r="178" spans="1:10" x14ac:dyDescent="0.2">
      <c r="A178" s="4"/>
      <c r="E178" s="4"/>
      <c r="F178" s="4"/>
      <c r="G178" s="9"/>
    </row>
    <row r="179" spans="1:10" x14ac:dyDescent="0.2">
      <c r="A179" s="4"/>
      <c r="E179" s="4"/>
      <c r="F179" s="4"/>
      <c r="G179" s="9"/>
    </row>
    <row r="180" spans="1:10" x14ac:dyDescent="0.2">
      <c r="A180" s="4"/>
      <c r="E180" s="4"/>
      <c r="F180" s="4"/>
      <c r="G180" s="9"/>
    </row>
    <row r="181" spans="1:10" x14ac:dyDescent="0.2">
      <c r="A181" s="4"/>
      <c r="E181" s="4"/>
      <c r="F181" s="4"/>
      <c r="G181" s="9"/>
    </row>
    <row r="182" spans="1:10" x14ac:dyDescent="0.2">
      <c r="A182" s="5"/>
      <c r="B182" s="7"/>
      <c r="C182" s="7"/>
      <c r="E182" s="5"/>
      <c r="F182" s="5"/>
      <c r="G182" s="9"/>
    </row>
    <row r="183" spans="1:10" x14ac:dyDescent="0.2">
      <c r="A183" s="4"/>
      <c r="E183" s="4"/>
      <c r="F183" s="4"/>
      <c r="G183" s="9"/>
    </row>
    <row r="184" spans="1:10" x14ac:dyDescent="0.2">
      <c r="A184" s="4"/>
      <c r="E184" s="4"/>
      <c r="F184" s="4"/>
      <c r="G184" s="9"/>
    </row>
    <row r="185" spans="1:10" x14ac:dyDescent="0.2">
      <c r="A185" s="4"/>
      <c r="E185" s="4"/>
      <c r="F185" s="4"/>
      <c r="G185" s="9"/>
    </row>
    <row r="186" spans="1:10" x14ac:dyDescent="0.2">
      <c r="A186" s="4"/>
      <c r="E186" s="4"/>
      <c r="F186" s="4"/>
      <c r="G186" s="9"/>
    </row>
    <row r="187" spans="1:10" x14ac:dyDescent="0.2">
      <c r="A187" s="5"/>
      <c r="C187" s="7"/>
      <c r="E187" s="5"/>
      <c r="F187" s="5"/>
      <c r="G187" s="9"/>
    </row>
    <row r="188" spans="1:10" x14ac:dyDescent="0.2">
      <c r="A188" s="12"/>
      <c r="B188" s="13"/>
      <c r="C188" s="13"/>
      <c r="E188" s="12"/>
      <c r="F188" s="12"/>
      <c r="G188" s="9"/>
    </row>
    <row r="189" spans="1:10" x14ac:dyDescent="0.2">
      <c r="A189" s="12"/>
      <c r="B189" s="13"/>
      <c r="C189" s="13"/>
      <c r="E189" s="12"/>
      <c r="F189" s="12"/>
      <c r="G189" s="9"/>
    </row>
    <row r="190" spans="1:10" x14ac:dyDescent="0.2">
      <c r="A190" s="12"/>
      <c r="B190" s="13"/>
      <c r="C190" s="13"/>
      <c r="E190" s="12"/>
      <c r="F190" s="12"/>
      <c r="G190" s="9"/>
    </row>
    <row r="191" spans="1:10" x14ac:dyDescent="0.2">
      <c r="A191" s="4"/>
      <c r="B191" s="13"/>
      <c r="E191" s="4"/>
      <c r="F191" s="4"/>
      <c r="G191" s="9"/>
    </row>
    <row r="192" spans="1:10" x14ac:dyDescent="0.2">
      <c r="A192" s="4"/>
      <c r="B192" s="13"/>
      <c r="E192" s="4"/>
      <c r="F192" s="4"/>
      <c r="G192" s="9"/>
    </row>
    <row r="193" spans="1:10" x14ac:dyDescent="0.2">
      <c r="A193" s="11"/>
      <c r="B193" s="7"/>
      <c r="C193" s="7"/>
      <c r="D193" s="5"/>
      <c r="E193" s="5"/>
      <c r="F193" s="5"/>
      <c r="G193" s="8"/>
      <c r="H193" s="40"/>
      <c r="I193" s="40"/>
      <c r="J193" s="40"/>
    </row>
    <row r="194" spans="1:10" x14ac:dyDescent="0.2">
      <c r="A194" s="4"/>
      <c r="E194" s="4"/>
      <c r="F194" s="4"/>
      <c r="G194" s="9"/>
    </row>
    <row r="195" spans="1:10" x14ac:dyDescent="0.2">
      <c r="A195" s="4"/>
      <c r="E195" s="4"/>
      <c r="F195" s="4"/>
      <c r="G195" s="9"/>
    </row>
    <row r="196" spans="1:10" x14ac:dyDescent="0.2">
      <c r="A196" s="4"/>
      <c r="E196" s="4"/>
      <c r="F196" s="4"/>
      <c r="G196" s="9"/>
    </row>
    <row r="197" spans="1:10" x14ac:dyDescent="0.2">
      <c r="A197" s="4"/>
      <c r="E197" s="4"/>
      <c r="F197" s="4"/>
      <c r="G197" s="9"/>
    </row>
    <row r="198" spans="1:10" x14ac:dyDescent="0.2">
      <c r="A198" s="5"/>
      <c r="B198" s="7"/>
      <c r="C198" s="7"/>
      <c r="E198" s="5"/>
      <c r="F198" s="5"/>
      <c r="G198" s="9"/>
    </row>
    <row r="199" spans="1:10" x14ac:dyDescent="0.2">
      <c r="A199" s="4"/>
      <c r="E199" s="4"/>
      <c r="F199" s="4"/>
      <c r="G199" s="9"/>
    </row>
    <row r="200" spans="1:10" x14ac:dyDescent="0.2">
      <c r="A200" s="4"/>
      <c r="E200" s="4"/>
      <c r="F200" s="4"/>
      <c r="G200" s="9"/>
    </row>
    <row r="201" spans="1:10" x14ac:dyDescent="0.2">
      <c r="A201" s="4"/>
      <c r="E201" s="4"/>
      <c r="F201" s="4"/>
      <c r="G201" s="9"/>
    </row>
    <row r="202" spans="1:10" x14ac:dyDescent="0.2">
      <c r="A202" s="4"/>
      <c r="E202" s="4"/>
      <c r="F202" s="4"/>
      <c r="G202" s="9"/>
    </row>
    <row r="203" spans="1:10" x14ac:dyDescent="0.2">
      <c r="A203" s="4"/>
      <c r="E203" s="4"/>
      <c r="F203" s="4"/>
      <c r="G203" s="9"/>
    </row>
    <row r="204" spans="1:10" x14ac:dyDescent="0.2">
      <c r="A204" s="12"/>
      <c r="B204" s="13"/>
      <c r="C204" s="13"/>
      <c r="E204" s="12"/>
      <c r="F204" s="12"/>
      <c r="G204" s="9"/>
    </row>
    <row r="205" spans="1:10" x14ac:dyDescent="0.2">
      <c r="A205" s="12"/>
      <c r="B205" s="13"/>
      <c r="C205" s="13"/>
      <c r="E205" s="12"/>
      <c r="F205" s="12"/>
      <c r="G205" s="9"/>
    </row>
    <row r="206" spans="1:10" x14ac:dyDescent="0.2">
      <c r="A206" s="12"/>
      <c r="B206" s="13"/>
      <c r="C206" s="13"/>
      <c r="E206" s="12"/>
      <c r="F206" s="12"/>
      <c r="G206" s="9"/>
    </row>
    <row r="207" spans="1:10" x14ac:dyDescent="0.2">
      <c r="A207" s="4"/>
      <c r="B207" s="13"/>
      <c r="C207" s="13"/>
      <c r="E207" s="4"/>
      <c r="F207" s="4"/>
      <c r="G207" s="9"/>
    </row>
    <row r="208" spans="1:10" x14ac:dyDescent="0.2">
      <c r="A208" s="4"/>
      <c r="B208" s="13"/>
      <c r="E208" s="4"/>
      <c r="F208" s="4"/>
      <c r="G208" s="9"/>
    </row>
    <row r="209" spans="1:10" x14ac:dyDescent="0.2">
      <c r="A209" s="11"/>
      <c r="B209" s="7"/>
      <c r="C209" s="7"/>
      <c r="D209" s="5"/>
      <c r="E209" s="5"/>
      <c r="F209" s="5"/>
      <c r="G209" s="8"/>
      <c r="H209" s="40"/>
      <c r="I209" s="40"/>
      <c r="J209" s="40"/>
    </row>
    <row r="210" spans="1:10" x14ac:dyDescent="0.2">
      <c r="A210" s="4"/>
      <c r="E210" s="4"/>
      <c r="F210" s="4"/>
      <c r="G210" s="9"/>
    </row>
    <row r="211" spans="1:10" x14ac:dyDescent="0.2">
      <c r="A211" s="4"/>
      <c r="E211" s="4"/>
      <c r="F211" s="4"/>
      <c r="G211" s="9"/>
    </row>
    <row r="212" spans="1:10" x14ac:dyDescent="0.2">
      <c r="A212" s="4"/>
      <c r="E212" s="4"/>
      <c r="F212" s="4"/>
      <c r="G212" s="9"/>
    </row>
    <row r="213" spans="1:10" x14ac:dyDescent="0.2">
      <c r="A213" s="4"/>
      <c r="E213" s="4"/>
      <c r="F213" s="4"/>
      <c r="G213" s="9"/>
    </row>
    <row r="214" spans="1:10" x14ac:dyDescent="0.2">
      <c r="A214" s="5"/>
      <c r="B214" s="7"/>
      <c r="C214" s="7"/>
      <c r="E214" s="5"/>
      <c r="F214" s="5"/>
      <c r="G214" s="9"/>
    </row>
    <row r="215" spans="1:10" x14ac:dyDescent="0.2">
      <c r="A215" s="4"/>
      <c r="E215" s="4"/>
      <c r="F215" s="4"/>
      <c r="G215" s="9"/>
    </row>
    <row r="216" spans="1:10" x14ac:dyDescent="0.2">
      <c r="A216" s="4"/>
      <c r="E216" s="4"/>
      <c r="F216" s="4"/>
      <c r="G216" s="9"/>
    </row>
    <row r="217" spans="1:10" x14ac:dyDescent="0.2">
      <c r="A217" s="4"/>
      <c r="E217" s="4"/>
      <c r="F217" s="4"/>
      <c r="G217" s="9"/>
    </row>
    <row r="218" spans="1:10" x14ac:dyDescent="0.2">
      <c r="A218" s="4"/>
      <c r="E218" s="4"/>
      <c r="F218" s="4"/>
      <c r="G218" s="9"/>
    </row>
    <row r="219" spans="1:10" x14ac:dyDescent="0.2">
      <c r="A219" s="4"/>
      <c r="E219" s="4"/>
      <c r="F219" s="4"/>
      <c r="G219" s="9"/>
    </row>
    <row r="220" spans="1:10" x14ac:dyDescent="0.2">
      <c r="A220" s="12"/>
      <c r="B220" s="13"/>
      <c r="C220" s="13"/>
      <c r="E220" s="12"/>
      <c r="F220" s="12"/>
      <c r="G220" s="9"/>
    </row>
    <row r="221" spans="1:10" x14ac:dyDescent="0.2">
      <c r="A221" s="12"/>
      <c r="B221" s="13"/>
      <c r="C221" s="13"/>
      <c r="E221" s="12"/>
      <c r="F221" s="12"/>
      <c r="G221" s="9"/>
    </row>
    <row r="222" spans="1:10" x14ac:dyDescent="0.2">
      <c r="A222" s="12"/>
      <c r="B222" s="13"/>
      <c r="C222" s="13"/>
      <c r="E222" s="12"/>
      <c r="F222" s="12"/>
      <c r="G222" s="9"/>
    </row>
    <row r="223" spans="1:10" x14ac:dyDescent="0.2">
      <c r="A223" s="4"/>
      <c r="B223" s="13"/>
      <c r="E223" s="4"/>
      <c r="F223" s="4"/>
      <c r="G223" s="9"/>
    </row>
    <row r="224" spans="1:10" x14ac:dyDescent="0.2">
      <c r="A224" s="4"/>
      <c r="B224" s="13"/>
      <c r="E224" s="4"/>
      <c r="F224" s="4"/>
      <c r="G224" s="9"/>
    </row>
    <row r="225" spans="1:10" x14ac:dyDescent="0.2">
      <c r="A225" s="11"/>
      <c r="B225" s="7"/>
      <c r="C225" s="7"/>
      <c r="D225" s="5"/>
      <c r="E225" s="5"/>
      <c r="F225" s="5"/>
      <c r="G225" s="8"/>
      <c r="H225" s="40"/>
      <c r="I225" s="40"/>
      <c r="J225" s="40"/>
    </row>
    <row r="226" spans="1:10" x14ac:dyDescent="0.2">
      <c r="A226" s="4"/>
      <c r="E226" s="4"/>
      <c r="F226" s="4"/>
      <c r="G226" s="9"/>
    </row>
    <row r="227" spans="1:10" x14ac:dyDescent="0.2">
      <c r="A227" s="4"/>
      <c r="E227" s="4"/>
      <c r="F227" s="4"/>
      <c r="G227" s="9"/>
    </row>
    <row r="228" spans="1:10" x14ac:dyDescent="0.2">
      <c r="A228" s="4"/>
      <c r="E228" s="4"/>
      <c r="F228" s="4"/>
      <c r="G228" s="9"/>
    </row>
    <row r="229" spans="1:10" x14ac:dyDescent="0.2">
      <c r="A229" s="4"/>
      <c r="E229" s="4"/>
      <c r="F229" s="4"/>
      <c r="G229" s="9"/>
    </row>
    <row r="230" spans="1:10" x14ac:dyDescent="0.2">
      <c r="A230" s="5"/>
      <c r="B230" s="7"/>
      <c r="C230" s="7"/>
      <c r="E230" s="5"/>
      <c r="F230" s="5"/>
      <c r="G230" s="9"/>
    </row>
    <row r="231" spans="1:10" x14ac:dyDescent="0.2">
      <c r="A231" s="4"/>
      <c r="E231" s="4"/>
      <c r="F231" s="4"/>
      <c r="G231" s="9"/>
    </row>
    <row r="232" spans="1:10" x14ac:dyDescent="0.2">
      <c r="A232" s="4"/>
      <c r="E232" s="4"/>
      <c r="F232" s="4"/>
      <c r="G232" s="9"/>
    </row>
    <row r="233" spans="1:10" x14ac:dyDescent="0.2">
      <c r="A233" s="4"/>
      <c r="E233" s="4"/>
      <c r="F233" s="4"/>
      <c r="G233" s="9"/>
    </row>
    <row r="234" spans="1:10" x14ac:dyDescent="0.2">
      <c r="A234" s="4"/>
      <c r="E234" s="4"/>
      <c r="F234" s="10"/>
      <c r="G234" s="9"/>
    </row>
    <row r="235" spans="1:10" x14ac:dyDescent="0.2">
      <c r="A235" s="4"/>
      <c r="E235" s="4"/>
      <c r="F235" s="10"/>
      <c r="G235" s="9"/>
    </row>
    <row r="236" spans="1:10" x14ac:dyDescent="0.2">
      <c r="A236" s="12"/>
      <c r="B236" s="13"/>
      <c r="C236" s="13"/>
      <c r="E236" s="12"/>
      <c r="F236" s="12"/>
      <c r="G236" s="9"/>
    </row>
    <row r="237" spans="1:10" x14ac:dyDescent="0.2">
      <c r="A237" s="12"/>
      <c r="B237" s="13"/>
      <c r="C237" s="13"/>
      <c r="E237" s="12"/>
      <c r="F237" s="12"/>
      <c r="G237" s="9"/>
    </row>
    <row r="238" spans="1:10" x14ac:dyDescent="0.2">
      <c r="A238" s="12"/>
      <c r="B238" s="13"/>
      <c r="C238" s="13"/>
      <c r="E238" s="12"/>
      <c r="F238" s="12"/>
      <c r="G238" s="9"/>
    </row>
    <row r="239" spans="1:10" x14ac:dyDescent="0.2">
      <c r="A239" s="4"/>
      <c r="B239" s="13"/>
      <c r="E239" s="4"/>
      <c r="F239" s="10"/>
      <c r="G239" s="9"/>
    </row>
    <row r="240" spans="1:10" x14ac:dyDescent="0.2">
      <c r="A240" s="4"/>
      <c r="B240" s="13"/>
      <c r="E240" s="4"/>
      <c r="F240" s="10"/>
      <c r="G240" s="9"/>
    </row>
    <row r="241" spans="1:10" x14ac:dyDescent="0.2">
      <c r="A241" s="2"/>
      <c r="B241" s="7"/>
      <c r="C241" s="7"/>
      <c r="D241" s="5"/>
      <c r="E241" s="5"/>
      <c r="F241" s="5"/>
      <c r="G241" s="8"/>
      <c r="H241" s="40"/>
      <c r="I241" s="40"/>
      <c r="J241" s="40"/>
    </row>
    <row r="242" spans="1:10" x14ac:dyDescent="0.2">
      <c r="A242" s="4"/>
      <c r="E242" s="4"/>
      <c r="F242" s="4"/>
      <c r="G242" s="9"/>
    </row>
    <row r="243" spans="1:10" x14ac:dyDescent="0.2">
      <c r="A243" s="4"/>
      <c r="E243" s="4"/>
      <c r="F243" s="4"/>
      <c r="G243" s="9"/>
    </row>
    <row r="244" spans="1:10" x14ac:dyDescent="0.2">
      <c r="A244" s="4"/>
      <c r="E244" s="4"/>
      <c r="F244" s="4"/>
      <c r="G244" s="9"/>
    </row>
    <row r="245" spans="1:10" x14ac:dyDescent="0.2">
      <c r="A245" s="4"/>
      <c r="E245" s="4"/>
      <c r="F245" s="4"/>
      <c r="G245" s="9"/>
    </row>
    <row r="246" spans="1:10" x14ac:dyDescent="0.2">
      <c r="A246" s="5"/>
      <c r="B246" s="7"/>
      <c r="C246" s="7"/>
      <c r="E246" s="5"/>
      <c r="F246" s="5"/>
      <c r="G246" s="9"/>
    </row>
    <row r="247" spans="1:10" x14ac:dyDescent="0.2">
      <c r="A247" s="4"/>
      <c r="E247" s="4"/>
      <c r="F247" s="4"/>
      <c r="G247" s="9"/>
    </row>
    <row r="248" spans="1:10" x14ac:dyDescent="0.2">
      <c r="A248" s="4"/>
      <c r="B248" s="14"/>
      <c r="C248" s="14"/>
      <c r="E248" s="4"/>
      <c r="F248" s="4"/>
      <c r="G248" s="9"/>
    </row>
    <row r="249" spans="1:10" x14ac:dyDescent="0.2">
      <c r="A249" s="4"/>
      <c r="B249" s="14"/>
      <c r="C249" s="14"/>
      <c r="E249" s="4"/>
      <c r="F249" s="4"/>
      <c r="G249" s="9"/>
    </row>
    <row r="250" spans="1:10" x14ac:dyDescent="0.2">
      <c r="A250" s="4"/>
      <c r="B250" s="14"/>
      <c r="C250" s="14"/>
      <c r="E250" s="4"/>
      <c r="G250" s="9"/>
    </row>
    <row r="251" spans="1:10" x14ac:dyDescent="0.2">
      <c r="A251" s="5"/>
      <c r="B251" s="15"/>
      <c r="C251" s="15"/>
      <c r="E251" s="5"/>
      <c r="F251" s="5"/>
      <c r="G251" s="9"/>
    </row>
    <row r="252" spans="1:10" x14ac:dyDescent="0.2">
      <c r="A252" s="12"/>
      <c r="B252" s="16"/>
      <c r="C252" s="16"/>
      <c r="E252" s="12"/>
      <c r="F252" s="12"/>
      <c r="G252" s="9"/>
    </row>
    <row r="253" spans="1:10" x14ac:dyDescent="0.2">
      <c r="A253" s="12"/>
      <c r="B253" s="13"/>
      <c r="C253" s="16"/>
      <c r="E253" s="12"/>
      <c r="F253" s="12"/>
      <c r="G253" s="9"/>
    </row>
    <row r="254" spans="1:10" x14ac:dyDescent="0.2">
      <c r="A254" s="12"/>
      <c r="B254" s="13"/>
      <c r="C254" s="13"/>
      <c r="E254" s="12"/>
      <c r="F254" s="12"/>
      <c r="G254" s="9"/>
    </row>
    <row r="255" spans="1:10" x14ac:dyDescent="0.2">
      <c r="A255" s="5"/>
      <c r="B255" s="7"/>
      <c r="C255" s="5"/>
      <c r="E255" s="5"/>
      <c r="F255" s="5"/>
      <c r="G255" s="9"/>
    </row>
    <row r="256" spans="1:10" x14ac:dyDescent="0.2">
      <c r="A256" s="5"/>
      <c r="B256" s="7"/>
      <c r="C256" s="5"/>
      <c r="E256" s="5"/>
      <c r="F256" s="5"/>
      <c r="G256" s="9"/>
    </row>
    <row r="257" spans="1:10" x14ac:dyDescent="0.2">
      <c r="A257" s="11"/>
      <c r="B257" s="7"/>
      <c r="C257" s="7"/>
      <c r="D257" s="5"/>
      <c r="E257" s="5"/>
      <c r="F257" s="5"/>
      <c r="G257" s="8"/>
      <c r="H257" s="40"/>
      <c r="I257" s="40"/>
      <c r="J257" s="40"/>
    </row>
    <row r="258" spans="1:10" x14ac:dyDescent="0.2">
      <c r="A258" s="4"/>
      <c r="E258" s="4"/>
      <c r="F258" s="4"/>
      <c r="G258" s="9"/>
    </row>
    <row r="259" spans="1:10" x14ac:dyDescent="0.2">
      <c r="A259" s="4"/>
      <c r="E259" s="4"/>
      <c r="F259" s="4"/>
      <c r="G259" s="9"/>
    </row>
    <row r="260" spans="1:10" x14ac:dyDescent="0.2">
      <c r="A260" s="4"/>
      <c r="E260" s="4"/>
      <c r="F260" s="4"/>
      <c r="G260" s="9"/>
    </row>
    <row r="261" spans="1:10" x14ac:dyDescent="0.2">
      <c r="A261" s="4"/>
      <c r="E261" s="4"/>
      <c r="F261" s="4"/>
      <c r="G261" s="9"/>
    </row>
    <row r="262" spans="1:10" x14ac:dyDescent="0.2">
      <c r="A262" s="5"/>
      <c r="B262" s="7"/>
      <c r="C262" s="7"/>
      <c r="E262" s="5"/>
      <c r="F262" s="5"/>
      <c r="G262" s="9"/>
    </row>
    <row r="263" spans="1:10" x14ac:dyDescent="0.2">
      <c r="A263" s="4"/>
      <c r="E263" s="4"/>
      <c r="F263" s="4"/>
      <c r="G263" s="9"/>
    </row>
    <row r="264" spans="1:10" x14ac:dyDescent="0.2">
      <c r="A264" s="4"/>
      <c r="E264" s="4"/>
      <c r="F264" s="4"/>
      <c r="G264" s="9"/>
    </row>
    <row r="265" spans="1:10" x14ac:dyDescent="0.2">
      <c r="A265" s="4"/>
      <c r="E265" s="4"/>
      <c r="F265" s="4"/>
      <c r="G265" s="9"/>
    </row>
    <row r="266" spans="1:10" x14ac:dyDescent="0.2">
      <c r="A266" s="4"/>
      <c r="E266" s="4"/>
      <c r="F266" s="4"/>
      <c r="G266" s="9"/>
    </row>
    <row r="267" spans="1:10" x14ac:dyDescent="0.2">
      <c r="A267" s="4"/>
      <c r="E267" s="4"/>
      <c r="F267" s="4"/>
      <c r="G267" s="9"/>
    </row>
    <row r="268" spans="1:10" x14ac:dyDescent="0.2">
      <c r="A268" s="12"/>
      <c r="B268" s="13"/>
      <c r="C268" s="13"/>
      <c r="E268" s="12"/>
      <c r="F268" s="12"/>
      <c r="G268" s="9"/>
    </row>
    <row r="269" spans="1:10" x14ac:dyDescent="0.2">
      <c r="A269" s="12"/>
      <c r="B269" s="13"/>
      <c r="C269" s="13"/>
      <c r="E269" s="12"/>
      <c r="F269" s="12"/>
      <c r="G269" s="9"/>
    </row>
    <row r="270" spans="1:10" x14ac:dyDescent="0.2">
      <c r="A270" s="12"/>
      <c r="B270" s="13"/>
      <c r="C270" s="13"/>
      <c r="E270" s="12"/>
      <c r="F270" s="12"/>
      <c r="G270" s="9"/>
    </row>
    <row r="271" spans="1:10" x14ac:dyDescent="0.2">
      <c r="A271" s="5"/>
      <c r="B271" s="7"/>
      <c r="C271" s="7"/>
      <c r="E271" s="4"/>
      <c r="F271" s="4"/>
      <c r="G271" s="9"/>
    </row>
    <row r="272" spans="1:10" x14ac:dyDescent="0.2">
      <c r="A272" s="4"/>
      <c r="B272" s="13"/>
      <c r="E272" s="4"/>
      <c r="F272" s="4"/>
      <c r="G272" s="9"/>
    </row>
    <row r="273" spans="1:10" x14ac:dyDescent="0.2">
      <c r="A273" s="11"/>
      <c r="B273" s="7"/>
      <c r="C273" s="7"/>
      <c r="D273" s="5"/>
      <c r="E273" s="5"/>
      <c r="F273" s="5"/>
      <c r="G273" s="8"/>
      <c r="H273" s="40"/>
      <c r="I273" s="40"/>
      <c r="J273" s="40"/>
    </row>
    <row r="274" spans="1:10" x14ac:dyDescent="0.2">
      <c r="A274" s="4"/>
      <c r="E274" s="4"/>
      <c r="F274" s="4"/>
      <c r="G274" s="9"/>
    </row>
    <row r="275" spans="1:10" x14ac:dyDescent="0.2">
      <c r="A275" s="4"/>
      <c r="E275" s="4"/>
      <c r="F275" s="4"/>
      <c r="G275" s="9"/>
    </row>
    <row r="276" spans="1:10" x14ac:dyDescent="0.2">
      <c r="A276" s="4"/>
      <c r="E276" s="4"/>
      <c r="F276" s="4"/>
      <c r="G276" s="9"/>
    </row>
    <row r="277" spans="1:10" x14ac:dyDescent="0.2">
      <c r="A277" s="4"/>
      <c r="E277" s="4"/>
      <c r="F277" s="4"/>
      <c r="G277" s="9"/>
    </row>
    <row r="278" spans="1:10" x14ac:dyDescent="0.2">
      <c r="A278" s="5"/>
      <c r="B278" s="7"/>
      <c r="C278" s="7"/>
      <c r="E278" s="5"/>
      <c r="F278" s="5"/>
      <c r="G278" s="9"/>
    </row>
    <row r="279" spans="1:10" x14ac:dyDescent="0.2">
      <c r="A279" s="4"/>
      <c r="E279" s="4"/>
      <c r="F279" s="4"/>
      <c r="G279" s="9"/>
    </row>
    <row r="280" spans="1:10" x14ac:dyDescent="0.2">
      <c r="A280" s="4"/>
      <c r="E280" s="4"/>
      <c r="F280" s="4"/>
      <c r="G280" s="9"/>
    </row>
    <row r="281" spans="1:10" x14ac:dyDescent="0.2">
      <c r="A281" s="4"/>
      <c r="E281" s="4"/>
      <c r="F281" s="4"/>
      <c r="G281" s="9"/>
    </row>
    <row r="282" spans="1:10" x14ac:dyDescent="0.2">
      <c r="A282" s="4"/>
      <c r="E282" s="4"/>
      <c r="F282" s="4"/>
      <c r="G282" s="9"/>
    </row>
    <row r="283" spans="1:10" x14ac:dyDescent="0.2">
      <c r="A283" s="4"/>
      <c r="E283" s="4"/>
      <c r="F283" s="4"/>
      <c r="G283" s="9"/>
    </row>
    <row r="284" spans="1:10" x14ac:dyDescent="0.2">
      <c r="A284" s="12"/>
      <c r="B284" s="13"/>
      <c r="C284" s="13"/>
      <c r="E284" s="12"/>
      <c r="F284" s="12"/>
      <c r="G284" s="9"/>
    </row>
    <row r="285" spans="1:10" x14ac:dyDescent="0.2">
      <c r="A285" s="12"/>
      <c r="B285" s="13"/>
      <c r="C285" s="13"/>
      <c r="E285" s="12"/>
      <c r="F285" s="12"/>
      <c r="G285" s="9"/>
    </row>
    <row r="286" spans="1:10" x14ac:dyDescent="0.2">
      <c r="A286" s="12"/>
      <c r="B286" s="13"/>
      <c r="C286" s="13"/>
      <c r="E286" s="12"/>
      <c r="F286" s="12"/>
      <c r="G286" s="9"/>
    </row>
    <row r="287" spans="1:10" x14ac:dyDescent="0.2">
      <c r="A287" s="4"/>
      <c r="B287" s="13"/>
      <c r="E287" s="4"/>
      <c r="F287" s="4"/>
      <c r="G287" s="9"/>
    </row>
    <row r="288" spans="1:10" x14ac:dyDescent="0.2">
      <c r="A288" s="4"/>
      <c r="B288" s="13"/>
      <c r="E288" s="4"/>
      <c r="F288" s="4"/>
      <c r="G288" s="9"/>
    </row>
    <row r="289" spans="1:10" x14ac:dyDescent="0.2">
      <c r="A289" s="11"/>
      <c r="B289" s="131"/>
      <c r="C289" s="131"/>
      <c r="D289" s="5"/>
      <c r="E289" s="5"/>
      <c r="F289" s="5"/>
      <c r="G289" s="8"/>
      <c r="H289" s="40"/>
      <c r="I289" s="40"/>
      <c r="J289" s="40"/>
    </row>
    <row r="290" spans="1:10" x14ac:dyDescent="0.2">
      <c r="A290" s="4"/>
      <c r="E290" s="4"/>
      <c r="F290" s="4"/>
      <c r="G290" s="9"/>
    </row>
    <row r="291" spans="1:10" x14ac:dyDescent="0.2">
      <c r="A291" s="4"/>
      <c r="E291" s="4"/>
      <c r="F291" s="4"/>
      <c r="G291" s="9"/>
    </row>
    <row r="292" spans="1:10" x14ac:dyDescent="0.2">
      <c r="A292" s="4"/>
      <c r="E292" s="4"/>
      <c r="F292" s="4"/>
      <c r="G292" s="9"/>
    </row>
    <row r="293" spans="1:10" x14ac:dyDescent="0.2">
      <c r="A293" s="4"/>
      <c r="E293" s="4"/>
      <c r="F293" s="4"/>
      <c r="G293" s="9"/>
    </row>
    <row r="294" spans="1:10" x14ac:dyDescent="0.2">
      <c r="A294" s="5"/>
      <c r="B294" s="7"/>
      <c r="C294" s="7"/>
      <c r="E294" s="5"/>
      <c r="F294" s="5"/>
      <c r="G294" s="9"/>
    </row>
    <row r="295" spans="1:10" x14ac:dyDescent="0.2">
      <c r="A295" s="4"/>
      <c r="E295" s="4"/>
      <c r="F295" s="4"/>
      <c r="G295" s="9"/>
    </row>
    <row r="296" spans="1:10" x14ac:dyDescent="0.2">
      <c r="A296" s="4"/>
      <c r="E296" s="4"/>
      <c r="F296" s="4"/>
      <c r="G296" s="9"/>
    </row>
    <row r="297" spans="1:10" x14ac:dyDescent="0.2">
      <c r="A297" s="4"/>
      <c r="E297" s="4"/>
      <c r="F297" s="4"/>
      <c r="G297" s="9"/>
    </row>
    <row r="298" spans="1:10" x14ac:dyDescent="0.2">
      <c r="A298" s="4"/>
      <c r="E298" s="4"/>
      <c r="F298" s="4"/>
      <c r="G298" s="9"/>
    </row>
    <row r="299" spans="1:10" x14ac:dyDescent="0.2">
      <c r="A299" s="4"/>
      <c r="E299" s="4"/>
      <c r="F299" s="4"/>
      <c r="G299" s="9"/>
    </row>
    <row r="300" spans="1:10" x14ac:dyDescent="0.2">
      <c r="A300" s="12"/>
      <c r="B300" s="13"/>
      <c r="C300" s="13"/>
      <c r="E300" s="12"/>
      <c r="F300" s="12"/>
      <c r="G300" s="9"/>
    </row>
    <row r="301" spans="1:10" x14ac:dyDescent="0.2">
      <c r="A301" s="12"/>
      <c r="B301" s="13"/>
      <c r="C301" s="13"/>
      <c r="E301" s="12"/>
      <c r="F301" s="12"/>
      <c r="G301" s="9"/>
    </row>
    <row r="302" spans="1:10" x14ac:dyDescent="0.2">
      <c r="A302" s="12"/>
      <c r="B302" s="13"/>
      <c r="C302" s="13"/>
      <c r="E302" s="12"/>
      <c r="F302" s="12"/>
      <c r="G302" s="9"/>
    </row>
    <row r="303" spans="1:10" x14ac:dyDescent="0.2">
      <c r="A303" s="4"/>
      <c r="B303" s="13"/>
      <c r="E303" s="4"/>
      <c r="F303" s="4"/>
      <c r="G303" s="9"/>
    </row>
    <row r="304" spans="1:10" x14ac:dyDescent="0.2">
      <c r="A304" s="4"/>
      <c r="B304" s="13"/>
      <c r="E304" s="4"/>
      <c r="F304" s="4"/>
      <c r="G304" s="9"/>
    </row>
    <row r="305" spans="1:10" x14ac:dyDescent="0.2">
      <c r="A305" s="11"/>
      <c r="B305" s="131"/>
      <c r="C305" s="131"/>
      <c r="D305" s="5"/>
      <c r="E305" s="5"/>
      <c r="F305" s="5"/>
      <c r="G305" s="8"/>
      <c r="H305" s="40"/>
      <c r="I305" s="40"/>
      <c r="J305" s="40"/>
    </row>
    <row r="306" spans="1:10" x14ac:dyDescent="0.2">
      <c r="A306" s="4"/>
      <c r="E306" s="4"/>
      <c r="F306" s="4"/>
      <c r="G306" s="9"/>
    </row>
    <row r="307" spans="1:10" x14ac:dyDescent="0.2">
      <c r="A307" s="4"/>
      <c r="E307" s="4"/>
      <c r="F307" s="4"/>
      <c r="G307" s="9"/>
    </row>
    <row r="308" spans="1:10" x14ac:dyDescent="0.2">
      <c r="A308" s="4"/>
      <c r="E308" s="4"/>
      <c r="F308" s="4"/>
      <c r="G308" s="9"/>
    </row>
    <row r="309" spans="1:10" x14ac:dyDescent="0.2">
      <c r="A309" s="4"/>
      <c r="E309" s="4"/>
      <c r="F309" s="1"/>
      <c r="G309" s="9"/>
    </row>
    <row r="310" spans="1:10" x14ac:dyDescent="0.2">
      <c r="A310" s="5"/>
      <c r="B310" s="7"/>
      <c r="C310" s="7"/>
      <c r="E310" s="4"/>
      <c r="F310" s="5"/>
      <c r="G310" s="9"/>
    </row>
    <row r="311" spans="1:10" x14ac:dyDescent="0.2">
      <c r="A311" s="4"/>
      <c r="E311" s="4"/>
      <c r="F311" s="1"/>
      <c r="G311" s="9"/>
    </row>
    <row r="312" spans="1:10" x14ac:dyDescent="0.2">
      <c r="A312" s="4"/>
      <c r="E312" s="4"/>
      <c r="F312" s="1"/>
      <c r="G312" s="9"/>
    </row>
    <row r="313" spans="1:10" x14ac:dyDescent="0.2">
      <c r="A313" s="4"/>
      <c r="E313" s="4"/>
      <c r="F313" s="1"/>
      <c r="G313" s="9"/>
    </row>
    <row r="314" spans="1:10" x14ac:dyDescent="0.2">
      <c r="A314" s="4"/>
      <c r="E314" s="4"/>
      <c r="F314" s="1"/>
      <c r="G314" s="9"/>
    </row>
    <row r="315" spans="1:10" x14ac:dyDescent="0.2">
      <c r="A315" s="4"/>
      <c r="E315" s="4"/>
      <c r="F315" s="1"/>
      <c r="G315" s="9"/>
    </row>
    <row r="316" spans="1:10" x14ac:dyDescent="0.2">
      <c r="A316" s="12"/>
      <c r="B316" s="13"/>
      <c r="C316" s="13"/>
      <c r="E316" s="12"/>
      <c r="F316" s="17"/>
      <c r="G316" s="9"/>
    </row>
    <row r="317" spans="1:10" x14ac:dyDescent="0.2">
      <c r="A317" s="12"/>
      <c r="B317" s="13"/>
      <c r="C317" s="13"/>
      <c r="E317" s="12"/>
      <c r="F317" s="17"/>
      <c r="G317" s="9"/>
    </row>
    <row r="318" spans="1:10" x14ac:dyDescent="0.2">
      <c r="A318" s="12"/>
      <c r="B318" s="13"/>
      <c r="C318" s="13"/>
      <c r="E318" s="12"/>
      <c r="F318" s="17"/>
      <c r="G318" s="9"/>
    </row>
    <row r="319" spans="1:10" x14ac:dyDescent="0.2">
      <c r="A319" s="4"/>
      <c r="B319" s="13"/>
      <c r="E319" s="12"/>
      <c r="F319" s="1"/>
      <c r="G319" s="3"/>
    </row>
    <row r="320" spans="1:10" x14ac:dyDescent="0.2">
      <c r="A320" s="4"/>
      <c r="B320" s="13"/>
      <c r="E320" s="12"/>
      <c r="F320" s="1"/>
      <c r="G320" s="3"/>
    </row>
    <row r="321" spans="1:7" x14ac:dyDescent="0.2">
      <c r="A321" s="4"/>
      <c r="G321" s="3"/>
    </row>
  </sheetData>
  <mergeCells count="42">
    <mergeCell ref="B289:C289"/>
    <mergeCell ref="B305:C305"/>
    <mergeCell ref="B71:C71"/>
    <mergeCell ref="B92:C92"/>
    <mergeCell ref="B113:C113"/>
    <mergeCell ref="B134:C134"/>
    <mergeCell ref="B36:C36"/>
    <mergeCell ref="B43:C43"/>
    <mergeCell ref="B50:C50"/>
    <mergeCell ref="B57:C57"/>
    <mergeCell ref="B64:C64"/>
    <mergeCell ref="B1:C1"/>
    <mergeCell ref="B8:C8"/>
    <mergeCell ref="B15:C15"/>
    <mergeCell ref="B22:C22"/>
    <mergeCell ref="B29:C29"/>
    <mergeCell ref="H1:I1"/>
    <mergeCell ref="H8:I8"/>
    <mergeCell ref="H15:I15"/>
    <mergeCell ref="H22:I22"/>
    <mergeCell ref="H29:I29"/>
    <mergeCell ref="H36:I36"/>
    <mergeCell ref="H43:I43"/>
    <mergeCell ref="H50:I50"/>
    <mergeCell ref="H57:I57"/>
    <mergeCell ref="H64:I64"/>
    <mergeCell ref="H71:I71"/>
    <mergeCell ref="B78:C78"/>
    <mergeCell ref="H78:I78"/>
    <mergeCell ref="B85:C85"/>
    <mergeCell ref="H85:I85"/>
    <mergeCell ref="H92:I92"/>
    <mergeCell ref="B99:C99"/>
    <mergeCell ref="H99:I99"/>
    <mergeCell ref="B106:C106"/>
    <mergeCell ref="H106:I106"/>
    <mergeCell ref="H134:I134"/>
    <mergeCell ref="H113:I113"/>
    <mergeCell ref="B120:C120"/>
    <mergeCell ref="H120:I120"/>
    <mergeCell ref="B127:C127"/>
    <mergeCell ref="H127:I1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2023-07-21T14:55:29Z</dcterms:modified>
</cp:coreProperties>
</file>