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ne/Library/Mobile Documents/com~apple~CloudDocs/Documents/DGP/Hauser lab/Results/2021/Mouse Colonization/"/>
    </mc:Choice>
  </mc:AlternateContent>
  <xr:revisionPtr revIDLastSave="0" documentId="13_ncr:1_{A6A95EC8-D04E-6D4F-8AEC-661DB015AE07}" xr6:coauthVersionLast="47" xr6:coauthVersionMax="47" xr10:uidLastSave="{00000000-0000-0000-0000-000000000000}"/>
  <bookViews>
    <workbookView xWindow="0" yWindow="500" windowWidth="28800" windowHeight="17500" xr2:uid="{05D28018-5EC7-B748-ACA7-09DD0AD3B70C}"/>
  </bookViews>
  <sheets>
    <sheet name="dose" sheetId="4" r:id="rId1"/>
    <sheet name="feces pos ttmnt - PA" sheetId="5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51" i="5" l="1"/>
  <c r="D103" i="5"/>
  <c r="F199" i="5"/>
  <c r="F187" i="5"/>
  <c r="F175" i="5"/>
  <c r="F163" i="5"/>
  <c r="F151" i="5"/>
  <c r="F139" i="5"/>
  <c r="F127" i="5"/>
  <c r="F115" i="5"/>
  <c r="F103" i="5"/>
  <c r="F91" i="5"/>
  <c r="F34" i="5"/>
  <c r="F27" i="5"/>
  <c r="F20" i="5"/>
  <c r="F13" i="5"/>
  <c r="F6" i="5"/>
  <c r="F198" i="5"/>
  <c r="F197" i="5"/>
  <c r="F196" i="5"/>
  <c r="F186" i="5"/>
  <c r="F185" i="5"/>
  <c r="F184" i="5"/>
  <c r="F174" i="5"/>
  <c r="F173" i="5"/>
  <c r="F172" i="5"/>
  <c r="F162" i="5"/>
  <c r="F161" i="5"/>
  <c r="F160" i="5"/>
  <c r="F150" i="5"/>
  <c r="F149" i="5"/>
  <c r="F148" i="5"/>
  <c r="F138" i="5"/>
  <c r="F137" i="5"/>
  <c r="F136" i="5"/>
  <c r="F126" i="5"/>
  <c r="F125" i="5"/>
  <c r="F124" i="5"/>
  <c r="F114" i="5"/>
  <c r="F113" i="5"/>
  <c r="F112" i="5"/>
  <c r="F102" i="5"/>
  <c r="F101" i="5"/>
  <c r="F100" i="5"/>
  <c r="F90" i="5"/>
  <c r="F89" i="5"/>
  <c r="F88" i="5"/>
  <c r="F79" i="5"/>
  <c r="F70" i="5"/>
  <c r="F61" i="5"/>
  <c r="F52" i="5"/>
  <c r="F43" i="5"/>
  <c r="F33" i="5"/>
  <c r="F32" i="5"/>
  <c r="F26" i="5"/>
  <c r="F25" i="5"/>
  <c r="F19" i="5"/>
  <c r="F18" i="5"/>
  <c r="F12" i="5"/>
  <c r="F11" i="5"/>
  <c r="F5" i="5"/>
  <c r="F4" i="5"/>
  <c r="F195" i="5"/>
  <c r="F183" i="5"/>
  <c r="G170" i="5"/>
  <c r="D175" i="5"/>
  <c r="G175" i="5" s="1"/>
  <c r="D174" i="5"/>
  <c r="G174" i="5" s="1"/>
  <c r="D173" i="5"/>
  <c r="G173" i="5" s="1"/>
  <c r="D172" i="5"/>
  <c r="G172" i="5" s="1"/>
  <c r="D171" i="5"/>
  <c r="G171" i="5" s="1"/>
  <c r="D170" i="5"/>
  <c r="D169" i="5"/>
  <c r="D168" i="5"/>
  <c r="D167" i="5"/>
  <c r="D166" i="5"/>
  <c r="F171" i="5"/>
  <c r="F159" i="5"/>
  <c r="F147" i="5"/>
  <c r="F135" i="5"/>
  <c r="F123" i="5"/>
  <c r="F111" i="5"/>
  <c r="F99" i="5"/>
  <c r="F87" i="5"/>
  <c r="F78" i="5"/>
  <c r="F69" i="5"/>
  <c r="F60" i="5"/>
  <c r="F51" i="5"/>
  <c r="F42" i="5"/>
  <c r="F31" i="5"/>
  <c r="F24" i="5"/>
  <c r="F17" i="5"/>
  <c r="F10" i="5"/>
  <c r="F3" i="5"/>
  <c r="F194" i="5"/>
  <c r="F182" i="5"/>
  <c r="F170" i="5"/>
  <c r="F158" i="5"/>
  <c r="F146" i="5"/>
  <c r="F134" i="5"/>
  <c r="F122" i="5"/>
  <c r="F110" i="5"/>
  <c r="F98" i="5"/>
  <c r="F86" i="5"/>
  <c r="F77" i="5"/>
  <c r="F68" i="5"/>
  <c r="F59" i="5"/>
  <c r="F50" i="5"/>
  <c r="F41" i="5"/>
  <c r="G192" i="5" l="1"/>
  <c r="D199" i="5"/>
  <c r="G199" i="5" s="1"/>
  <c r="D198" i="5"/>
  <c r="G198" i="5" s="1"/>
  <c r="D197" i="5"/>
  <c r="G197" i="5" s="1"/>
  <c r="D196" i="5"/>
  <c r="G196" i="5" s="1"/>
  <c r="D195" i="5"/>
  <c r="G195" i="5" s="1"/>
  <c r="D194" i="5"/>
  <c r="G194" i="5" s="1"/>
  <c r="D193" i="5"/>
  <c r="D192" i="5"/>
  <c r="D191" i="5"/>
  <c r="G191" i="5" s="1"/>
  <c r="D190" i="5"/>
  <c r="G190" i="5" s="1"/>
  <c r="F193" i="5"/>
  <c r="F192" i="5"/>
  <c r="F191" i="5"/>
  <c r="F190" i="5"/>
  <c r="D187" i="5"/>
  <c r="G187" i="5" s="1"/>
  <c r="D186" i="5"/>
  <c r="G186" i="5" s="1"/>
  <c r="D185" i="5"/>
  <c r="G185" i="5" s="1"/>
  <c r="D184" i="5"/>
  <c r="G184" i="5" s="1"/>
  <c r="D183" i="5"/>
  <c r="G183" i="5" s="1"/>
  <c r="D182" i="5"/>
  <c r="G182" i="5" s="1"/>
  <c r="D181" i="5"/>
  <c r="D180" i="5"/>
  <c r="G180" i="5" s="1"/>
  <c r="D179" i="5"/>
  <c r="G179" i="5" s="1"/>
  <c r="D178" i="5"/>
  <c r="G178" i="5" s="1"/>
  <c r="F181" i="5"/>
  <c r="F180" i="5"/>
  <c r="F179" i="5"/>
  <c r="F178" i="5"/>
  <c r="F169" i="5"/>
  <c r="G169" i="5" s="1"/>
  <c r="F168" i="5"/>
  <c r="G168" i="5" s="1"/>
  <c r="F167" i="5"/>
  <c r="G167" i="5" s="1"/>
  <c r="F166" i="5"/>
  <c r="G166" i="5" s="1"/>
  <c r="F157" i="5"/>
  <c r="F156" i="5"/>
  <c r="F155" i="5"/>
  <c r="F154" i="5"/>
  <c r="F145" i="5"/>
  <c r="F144" i="5"/>
  <c r="F143" i="5"/>
  <c r="F142" i="5"/>
  <c r="G134" i="5"/>
  <c r="G132" i="5"/>
  <c r="D139" i="5"/>
  <c r="G139" i="5" s="1"/>
  <c r="D138" i="5"/>
  <c r="G138" i="5" s="1"/>
  <c r="D137" i="5"/>
  <c r="G137" i="5" s="1"/>
  <c r="D136" i="5"/>
  <c r="G136" i="5" s="1"/>
  <c r="D135" i="5"/>
  <c r="G135" i="5" s="1"/>
  <c r="D134" i="5"/>
  <c r="D133" i="5"/>
  <c r="D132" i="5"/>
  <c r="D131" i="5"/>
  <c r="G131" i="5" s="1"/>
  <c r="D130" i="5"/>
  <c r="G130" i="5" s="1"/>
  <c r="F133" i="5"/>
  <c r="F132" i="5"/>
  <c r="F131" i="5"/>
  <c r="F130" i="5"/>
  <c r="G120" i="5"/>
  <c r="G119" i="5"/>
  <c r="D127" i="5"/>
  <c r="G127" i="5" s="1"/>
  <c r="D126" i="5"/>
  <c r="G126" i="5" s="1"/>
  <c r="D125" i="5"/>
  <c r="G125" i="5" s="1"/>
  <c r="D124" i="5"/>
  <c r="G124" i="5" s="1"/>
  <c r="D123" i="5"/>
  <c r="G123" i="5" s="1"/>
  <c r="D122" i="5"/>
  <c r="G122" i="5" s="1"/>
  <c r="D121" i="5"/>
  <c r="D120" i="5"/>
  <c r="D119" i="5"/>
  <c r="D118" i="5"/>
  <c r="G118" i="5" s="1"/>
  <c r="F121" i="5"/>
  <c r="F120" i="5"/>
  <c r="F119" i="5"/>
  <c r="F118" i="5"/>
  <c r="G106" i="5"/>
  <c r="D115" i="5"/>
  <c r="G115" i="5" s="1"/>
  <c r="D114" i="5"/>
  <c r="G114" i="5" s="1"/>
  <c r="D113" i="5"/>
  <c r="G113" i="5" s="1"/>
  <c r="D112" i="5"/>
  <c r="G112" i="5" s="1"/>
  <c r="D111" i="5"/>
  <c r="G111" i="5" s="1"/>
  <c r="D110" i="5"/>
  <c r="G110" i="5" s="1"/>
  <c r="D109" i="5"/>
  <c r="D108" i="5"/>
  <c r="G108" i="5" s="1"/>
  <c r="D107" i="5"/>
  <c r="G107" i="5" s="1"/>
  <c r="D106" i="5"/>
  <c r="F109" i="5"/>
  <c r="F108" i="5"/>
  <c r="F107" i="5"/>
  <c r="F106" i="5"/>
  <c r="F97" i="5"/>
  <c r="F96" i="5"/>
  <c r="F95" i="5"/>
  <c r="F94" i="5"/>
  <c r="F85" i="5"/>
  <c r="F84" i="5"/>
  <c r="F83" i="5"/>
  <c r="F82" i="5"/>
  <c r="D79" i="5"/>
  <c r="G79" i="5" s="1"/>
  <c r="D78" i="5"/>
  <c r="G78" i="5" s="1"/>
  <c r="D77" i="5"/>
  <c r="G77" i="5" s="1"/>
  <c r="D76" i="5"/>
  <c r="D75" i="5"/>
  <c r="G75" i="5" s="1"/>
  <c r="D74" i="5"/>
  <c r="D73" i="5"/>
  <c r="G74" i="5"/>
  <c r="G73" i="5"/>
  <c r="G64" i="5"/>
  <c r="D70" i="5"/>
  <c r="G70" i="5" s="1"/>
  <c r="D69" i="5"/>
  <c r="G69" i="5" s="1"/>
  <c r="D68" i="5"/>
  <c r="G68" i="5" s="1"/>
  <c r="D67" i="5"/>
  <c r="G67" i="5" s="1"/>
  <c r="D66" i="5"/>
  <c r="G66" i="5" s="1"/>
  <c r="D65" i="5"/>
  <c r="G65" i="5" s="1"/>
  <c r="D64" i="5"/>
  <c r="D61" i="5"/>
  <c r="G61" i="5" s="1"/>
  <c r="D60" i="5"/>
  <c r="G60" i="5" s="1"/>
  <c r="D59" i="5"/>
  <c r="G59" i="5" s="1"/>
  <c r="D58" i="5"/>
  <c r="D57" i="5"/>
  <c r="D56" i="5"/>
  <c r="G56" i="5" s="1"/>
  <c r="D55" i="5"/>
  <c r="G55" i="5"/>
  <c r="F76" i="5"/>
  <c r="F75" i="5"/>
  <c r="F74" i="5"/>
  <c r="F73" i="5"/>
  <c r="F67" i="5"/>
  <c r="F66" i="5"/>
  <c r="F65" i="5"/>
  <c r="F64" i="5"/>
  <c r="F58" i="5"/>
  <c r="F57" i="5"/>
  <c r="F56" i="5"/>
  <c r="F55" i="5"/>
  <c r="F49" i="5"/>
  <c r="F48" i="5"/>
  <c r="F47" i="5"/>
  <c r="F46" i="5"/>
  <c r="F40" i="5"/>
  <c r="F39" i="5"/>
  <c r="F38" i="5"/>
  <c r="F37" i="5"/>
  <c r="AB9" i="5"/>
  <c r="AB10" i="5"/>
  <c r="AB11" i="5"/>
  <c r="AB2" i="5"/>
  <c r="AA9" i="5"/>
  <c r="AA10" i="5"/>
  <c r="AA11" i="5"/>
  <c r="AA2" i="5"/>
  <c r="X9" i="5"/>
  <c r="X10" i="5"/>
  <c r="X11" i="5"/>
  <c r="X2" i="5"/>
  <c r="Y9" i="5"/>
  <c r="Y10" i="5"/>
  <c r="Y11" i="5"/>
  <c r="Y2" i="5"/>
  <c r="Z4" i="5"/>
  <c r="Z5" i="5" s="1"/>
  <c r="Z6" i="5" s="1"/>
  <c r="Z7" i="5" s="1"/>
  <c r="AA7" i="5" s="1"/>
  <c r="Z3" i="5"/>
  <c r="AA3" i="5" s="1"/>
  <c r="F30" i="5"/>
  <c r="F23" i="5"/>
  <c r="F16" i="5"/>
  <c r="F9" i="5"/>
  <c r="F2" i="5"/>
  <c r="D163" i="5"/>
  <c r="G163" i="5" s="1"/>
  <c r="D162" i="5"/>
  <c r="G162" i="5" s="1"/>
  <c r="D161" i="5"/>
  <c r="G161" i="5" s="1"/>
  <c r="D160" i="5"/>
  <c r="G160" i="5" s="1"/>
  <c r="D159" i="5"/>
  <c r="G159" i="5" s="1"/>
  <c r="D158" i="5"/>
  <c r="G158" i="5" s="1"/>
  <c r="D157" i="5"/>
  <c r="G157" i="5" s="1"/>
  <c r="D156" i="5"/>
  <c r="D155" i="5"/>
  <c r="D154" i="5"/>
  <c r="G154" i="5" s="1"/>
  <c r="G151" i="5"/>
  <c r="D150" i="5"/>
  <c r="G150" i="5" s="1"/>
  <c r="D149" i="5"/>
  <c r="G149" i="5" s="1"/>
  <c r="D148" i="5"/>
  <c r="G148" i="5" s="1"/>
  <c r="D147" i="5"/>
  <c r="G147" i="5" s="1"/>
  <c r="D146" i="5"/>
  <c r="G146" i="5" s="1"/>
  <c r="D145" i="5"/>
  <c r="G145" i="5" s="1"/>
  <c r="D144" i="5"/>
  <c r="G144" i="5" s="1"/>
  <c r="D143" i="5"/>
  <c r="D142" i="5"/>
  <c r="G142" i="5" s="1"/>
  <c r="G103" i="5"/>
  <c r="D102" i="5"/>
  <c r="G102" i="5" s="1"/>
  <c r="D101" i="5"/>
  <c r="G101" i="5" s="1"/>
  <c r="D91" i="5"/>
  <c r="G91" i="5" s="1"/>
  <c r="D89" i="5"/>
  <c r="G89" i="5" s="1"/>
  <c r="D90" i="5"/>
  <c r="G90" i="5" s="1"/>
  <c r="D100" i="5"/>
  <c r="G100" i="5" s="1"/>
  <c r="D99" i="5"/>
  <c r="G99" i="5" s="1"/>
  <c r="D98" i="5"/>
  <c r="G98" i="5" s="1"/>
  <c r="D97" i="5"/>
  <c r="G97" i="5" s="1"/>
  <c r="D96" i="5"/>
  <c r="G96" i="5" s="1"/>
  <c r="D95" i="5"/>
  <c r="G95" i="5" s="1"/>
  <c r="D94" i="5"/>
  <c r="G94" i="5" s="1"/>
  <c r="D88" i="5"/>
  <c r="G88" i="5" s="1"/>
  <c r="D87" i="5"/>
  <c r="G87" i="5" s="1"/>
  <c r="D86" i="5"/>
  <c r="G86" i="5" s="1"/>
  <c r="D85" i="5"/>
  <c r="D84" i="5"/>
  <c r="G84" i="5" s="1"/>
  <c r="D83" i="5"/>
  <c r="G83" i="5" s="1"/>
  <c r="D82" i="5"/>
  <c r="G82" i="5" s="1"/>
  <c r="D52" i="5"/>
  <c r="G52" i="5" s="1"/>
  <c r="D51" i="5"/>
  <c r="G51" i="5" s="1"/>
  <c r="D50" i="5"/>
  <c r="G50" i="5" s="1"/>
  <c r="D49" i="5"/>
  <c r="G49" i="5" s="1"/>
  <c r="D48" i="5"/>
  <c r="D47" i="5"/>
  <c r="G47" i="5" s="1"/>
  <c r="D46" i="5"/>
  <c r="G46" i="5" s="1"/>
  <c r="D42" i="5"/>
  <c r="G42" i="5" s="1"/>
  <c r="D43" i="5"/>
  <c r="G43" i="5" s="1"/>
  <c r="D41" i="5"/>
  <c r="D40" i="5"/>
  <c r="D39" i="5"/>
  <c r="D38" i="5"/>
  <c r="G38" i="5" s="1"/>
  <c r="D37" i="5"/>
  <c r="G37" i="5" s="1"/>
  <c r="D34" i="5"/>
  <c r="D33" i="5"/>
  <c r="D32" i="5"/>
  <c r="G32" i="5" s="1"/>
  <c r="D31" i="5"/>
  <c r="G31" i="5" s="1"/>
  <c r="D30" i="5"/>
  <c r="G30" i="5" s="1"/>
  <c r="D27" i="5"/>
  <c r="G27" i="5" s="1"/>
  <c r="D26" i="5"/>
  <c r="G26" i="5" s="1"/>
  <c r="D25" i="5"/>
  <c r="D24" i="5"/>
  <c r="G24" i="5" s="1"/>
  <c r="D23" i="5"/>
  <c r="G23" i="5" s="1"/>
  <c r="D20" i="5"/>
  <c r="G20" i="5" s="1"/>
  <c r="D19" i="5"/>
  <c r="G19" i="5" s="1"/>
  <c r="D18" i="5"/>
  <c r="G18" i="5" s="1"/>
  <c r="D17" i="5"/>
  <c r="G17" i="5" s="1"/>
  <c r="D16" i="5"/>
  <c r="D13" i="5"/>
  <c r="D12" i="5"/>
  <c r="D11" i="5"/>
  <c r="D10" i="5"/>
  <c r="G10" i="5" s="1"/>
  <c r="D9" i="5"/>
  <c r="G9" i="5" s="1"/>
  <c r="S3" i="5"/>
  <c r="T3" i="5" s="1"/>
  <c r="U3" i="5" s="1"/>
  <c r="V3" i="5" s="1"/>
  <c r="S4" i="5"/>
  <c r="T4" i="5" s="1"/>
  <c r="U4" i="5" s="1"/>
  <c r="V4" i="5" s="1"/>
  <c r="S5" i="5"/>
  <c r="T5" i="5" s="1"/>
  <c r="U5" i="5" s="1"/>
  <c r="V5" i="5" s="1"/>
  <c r="S6" i="5"/>
  <c r="T6" i="5" s="1"/>
  <c r="U6" i="5" s="1"/>
  <c r="V6" i="5" s="1"/>
  <c r="L7" i="4"/>
  <c r="L6" i="4"/>
  <c r="AA6" i="5" l="1"/>
  <c r="G109" i="5"/>
  <c r="G16" i="5"/>
  <c r="G48" i="5"/>
  <c r="G85" i="5"/>
  <c r="G155" i="5"/>
  <c r="Z8" i="5"/>
  <c r="Y5" i="5"/>
  <c r="X7" i="5"/>
  <c r="X3" i="5"/>
  <c r="AA5" i="5"/>
  <c r="AB7" i="5"/>
  <c r="AB3" i="5"/>
  <c r="G58" i="5"/>
  <c r="G76" i="5"/>
  <c r="AB4" i="5"/>
  <c r="G39" i="5"/>
  <c r="Y4" i="5"/>
  <c r="X6" i="5"/>
  <c r="AA4" i="5"/>
  <c r="AB6" i="5"/>
  <c r="G133" i="5"/>
  <c r="G181" i="5"/>
  <c r="Y6" i="5"/>
  <c r="X4" i="5"/>
  <c r="G57" i="5"/>
  <c r="G143" i="5"/>
  <c r="Y7" i="5"/>
  <c r="Y3" i="5"/>
  <c r="X5" i="5"/>
  <c r="AB5" i="5"/>
  <c r="G121" i="5"/>
  <c r="G193" i="5"/>
  <c r="G156" i="5"/>
  <c r="G41" i="5"/>
  <c r="G40" i="5"/>
  <c r="G34" i="5"/>
  <c r="G13" i="5"/>
  <c r="G33" i="5"/>
  <c r="G12" i="5"/>
  <c r="G11" i="5"/>
  <c r="G25" i="5"/>
  <c r="M6" i="4"/>
  <c r="N6" i="4" s="1"/>
  <c r="AA8" i="5" l="1"/>
  <c r="Y8" i="5"/>
  <c r="AB8" i="5"/>
  <c r="X8" i="5"/>
  <c r="L5" i="4"/>
  <c r="L4" i="4"/>
  <c r="L3" i="4"/>
  <c r="L2" i="4"/>
  <c r="D6" i="5"/>
  <c r="D5" i="5"/>
  <c r="D4" i="5"/>
  <c r="G4" i="5" s="1"/>
  <c r="D3" i="5"/>
  <c r="G3" i="5" s="1"/>
  <c r="D2" i="5"/>
  <c r="M2" i="4" l="1"/>
  <c r="N2" i="4" s="1"/>
  <c r="M4" i="4"/>
  <c r="N4" i="4" s="1"/>
  <c r="G6" i="5"/>
  <c r="G5" i="5"/>
  <c r="G2" i="5"/>
  <c r="S2" i="5" l="1"/>
  <c r="T2" i="5" s="1"/>
  <c r="U2" i="5" s="1"/>
  <c r="V2" i="5" s="1"/>
</calcChain>
</file>

<file path=xl/sharedStrings.xml><?xml version="1.0" encoding="utf-8"?>
<sst xmlns="http://schemas.openxmlformats.org/spreadsheetml/2006/main" count="294" uniqueCount="49">
  <si>
    <t>number of CFU (not diluted)</t>
  </si>
  <si>
    <t>mean in 10 µL</t>
  </si>
  <si>
    <t>feces weights (mg)</t>
  </si>
  <si>
    <t>Log10 CFU/g of feces</t>
  </si>
  <si>
    <t>Dilution factor</t>
  </si>
  <si>
    <t>Strain</t>
  </si>
  <si>
    <t>Slope</t>
  </si>
  <si>
    <t>Intercept</t>
  </si>
  <si>
    <r>
      <t>Goal Log</t>
    </r>
    <r>
      <rPr>
        <vertAlign val="subscript"/>
        <sz val="10"/>
        <color theme="0"/>
        <rFont val="Verdana"/>
        <family val="2"/>
      </rPr>
      <t>10</t>
    </r>
    <r>
      <rPr>
        <sz val="10"/>
        <color theme="0"/>
        <rFont val="Verdana"/>
        <family val="2"/>
      </rPr>
      <t xml:space="preserve"> CFU (50 µL)</t>
    </r>
  </si>
  <si>
    <r>
      <t>OD Goal Log</t>
    </r>
    <r>
      <rPr>
        <vertAlign val="subscript"/>
        <sz val="10"/>
        <color theme="0"/>
        <rFont val="Verdana"/>
        <family val="2"/>
      </rPr>
      <t>10</t>
    </r>
    <r>
      <rPr>
        <sz val="10"/>
        <color theme="0"/>
        <rFont val="Verdana"/>
        <family val="2"/>
      </rPr>
      <t xml:space="preserve"> CFU (50 µL)</t>
    </r>
  </si>
  <si>
    <t>Colony Count</t>
  </si>
  <si>
    <t>Dilution Factor</t>
  </si>
  <si>
    <t>Average CFUs</t>
  </si>
  <si>
    <t>Log CFUs</t>
  </si>
  <si>
    <t>day 7</t>
  </si>
  <si>
    <t>CFUs/50uL</t>
  </si>
  <si>
    <t>day 3</t>
  </si>
  <si>
    <t>day 5</t>
  </si>
  <si>
    <t>day 14</t>
  </si>
  <si>
    <t>day 10</t>
  </si>
  <si>
    <t>OD reached</t>
  </si>
  <si>
    <t>BL004 LB (LB irg5 plates)</t>
  </si>
  <si>
    <t>BL048 10^5.6 LB (LB irg5 plates)</t>
  </si>
  <si>
    <t>BL048 10^6 LB (LB irg5 plates)</t>
  </si>
  <si>
    <t>5+2 Vanco BL004 LB mouse 1 10^5.6</t>
  </si>
  <si>
    <t>5+2 Vanco BL004 LB mouse 2 10^5.6</t>
  </si>
  <si>
    <t>5+2 Vanco BL004 LB mouse 3 10^5.6</t>
  </si>
  <si>
    <t>5+2 Vanco BL004 LB mouse 4 10^5.6</t>
  </si>
  <si>
    <t>5+2 Vanco BL004 LB mouse 5 10^5.6</t>
  </si>
  <si>
    <t>day 1</t>
  </si>
  <si>
    <t>day 2</t>
  </si>
  <si>
    <t>day 4</t>
  </si>
  <si>
    <t>day 6</t>
  </si>
  <si>
    <t>5+0 Vanco BL048 LB mouse 1 10^5.9</t>
  </si>
  <si>
    <t>5+0 Vanco BL048 LB mouse 2 10^5.9</t>
  </si>
  <si>
    <t>5+0 Vanco BL048 LB mouse 3 10^5.9</t>
  </si>
  <si>
    <t>5+0 Vanco BL048 LB mouse 4 10^5.9</t>
  </si>
  <si>
    <t>5+0 Vanco BL048 LB mouse 5 10^5.9</t>
  </si>
  <si>
    <t>5+2 Vanco BL048 LB mouse 1 10^5.9</t>
  </si>
  <si>
    <t>5+2 Vanco BL048 LB mouse 2 10^5.9</t>
  </si>
  <si>
    <t>5+2 Vanco BL048 LB mouse 3 10^5.9</t>
  </si>
  <si>
    <t>5+2 Vanco BL048 LB mouse 4 10^5.9</t>
  </si>
  <si>
    <t>5+2 Vanco BL048 LB mouse 5 10^5.9</t>
  </si>
  <si>
    <t>day 12</t>
  </si>
  <si>
    <t>5+2 Vanco BL048 LB male mouse 1 10^5.6</t>
  </si>
  <si>
    <t>5+2 Vanco BL048 LB male mouse 2 10^5.6</t>
  </si>
  <si>
    <t>5+2 Vanco BL048 LB male mouse 3 10^5.6</t>
  </si>
  <si>
    <t>5+2 Vanco BL048 LB male mouse 4 10^5.6</t>
  </si>
  <si>
    <t>5+2 Vanco BL048 LB male mouse 5 10^5.6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</si>
</sst>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0"/>
      <name val="Verdana"/>
      <family val="2"/>
    </font>
    <font>
      <vertAlign val="subscript"/>
      <sz val="10"/>
      <color theme="0"/>
      <name val="Verdana"/>
      <family val="2"/>
    </font>
    <font>
      <sz val="12"/>
      <name val="Calibri"/>
      <family val="2"/>
      <scheme val="minor"/>
    </font>
    <font>
      <b/>
      <sz val="10"/>
      <name val="Verdana"/>
      <family val="2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1" tint="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/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/>
    </xf>
    <xf numFmtId="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64" fontId="0" fillId="4" borderId="1" xfId="0" applyNumberFormat="1" applyFill="1" applyBorder="1" applyAlignment="1">
      <alignment horizontal="center"/>
    </xf>
    <xf numFmtId="164" fontId="0" fillId="0" borderId="0" xfId="0" applyNumberFormat="1" applyAlignment="1">
      <alignment horizontal="center" vertical="center" wrapText="1"/>
    </xf>
    <xf numFmtId="164" fontId="0" fillId="0" borderId="0" xfId="0" applyNumberFormat="1" applyFont="1"/>
    <xf numFmtId="164" fontId="0" fillId="0" borderId="0" xfId="0" applyNumberFormat="1"/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0" xfId="0" applyFont="1"/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right"/>
    </xf>
    <xf numFmtId="0" fontId="0" fillId="0" borderId="0" xfId="0" applyFont="1" applyAlignment="1">
      <alignment horizontal="right" vertical="center" wrapText="1"/>
    </xf>
    <xf numFmtId="0" fontId="6" fillId="0" borderId="0" xfId="0" applyFont="1" applyAlignment="1">
      <alignment horizontal="right"/>
    </xf>
    <xf numFmtId="0" fontId="6" fillId="0" borderId="0" xfId="0" applyFont="1" applyAlignment="1"/>
    <xf numFmtId="0" fontId="0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/>
    <xf numFmtId="0" fontId="0" fillId="0" borderId="0" xfId="0" applyFill="1" applyAlignment="1">
      <alignment vertical="center" wrapText="1"/>
    </xf>
    <xf numFmtId="11" fontId="0" fillId="0" borderId="0" xfId="0" applyNumberFormat="1" applyFill="1" applyAlignment="1">
      <alignment horizontal="center" vertical="center"/>
    </xf>
    <xf numFmtId="11" fontId="0" fillId="0" borderId="0" xfId="0" applyNumberFormat="1" applyFill="1" applyAlignment="1">
      <alignment vertical="center"/>
    </xf>
    <xf numFmtId="0" fontId="0" fillId="0" borderId="3" xfId="0" applyBorder="1"/>
    <xf numFmtId="11" fontId="0" fillId="0" borderId="3" xfId="0" applyNumberFormat="1" applyBorder="1" applyAlignment="1">
      <alignment horizontal="center" vertical="center"/>
    </xf>
    <xf numFmtId="0" fontId="0" fillId="0" borderId="6" xfId="0" applyBorder="1"/>
    <xf numFmtId="11" fontId="0" fillId="0" borderId="6" xfId="0" applyNumberFormat="1" applyBorder="1" applyAlignment="1">
      <alignment horizontal="center" vertical="center"/>
    </xf>
    <xf numFmtId="11" fontId="0" fillId="0" borderId="3" xfId="0" applyNumberFormat="1" applyBorder="1" applyAlignment="1">
      <alignment horizontal="center" vertical="center"/>
    </xf>
    <xf numFmtId="11" fontId="0" fillId="0" borderId="6" xfId="0" applyNumberForma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Border="1"/>
    <xf numFmtId="0" fontId="0" fillId="0" borderId="0" xfId="0" applyFill="1" applyBorder="1"/>
    <xf numFmtId="0" fontId="0" fillId="0" borderId="0" xfId="0" applyFill="1" applyBorder="1" applyAlignment="1">
      <alignment vertical="center" wrapText="1"/>
    </xf>
    <xf numFmtId="11" fontId="0" fillId="0" borderId="0" xfId="0" applyNumberFormat="1" applyFill="1" applyBorder="1" applyAlignment="1">
      <alignment horizontal="center" vertical="center"/>
    </xf>
    <xf numFmtId="11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2" fontId="0" fillId="0" borderId="0" xfId="0" applyNumberFormat="1" applyFill="1" applyBorder="1" applyAlignment="1">
      <alignment vertical="center"/>
    </xf>
    <xf numFmtId="0" fontId="6" fillId="0" borderId="0" xfId="0" applyFont="1" applyAlignment="1">
      <alignment horizontal="center" vertical="center" wrapText="1"/>
    </xf>
    <xf numFmtId="164" fontId="6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0" fillId="5" borderId="0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1" fontId="0" fillId="0" borderId="3" xfId="0" applyNumberFormat="1" applyBorder="1" applyAlignment="1">
      <alignment horizontal="center" vertical="center"/>
    </xf>
    <xf numFmtId="11" fontId="0" fillId="0" borderId="6" xfId="0" applyNumberFormat="1" applyBorder="1" applyAlignment="1">
      <alignment horizontal="center" vertical="center"/>
    </xf>
    <xf numFmtId="2" fontId="0" fillId="3" borderId="4" xfId="0" applyNumberFormat="1" applyFill="1" applyBorder="1" applyAlignment="1">
      <alignment horizontal="center" vertical="center"/>
    </xf>
    <xf numFmtId="2" fontId="0" fillId="3" borderId="7" xfId="0" applyNumberFormat="1" applyFill="1" applyBorder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2000">
                <a:solidFill>
                  <a:schemeClr val="tx1"/>
                </a:solidFill>
              </a:rPr>
              <a:t>BL004</a:t>
            </a:r>
            <a:r>
              <a:rPr lang="en-US" sz="2000" baseline="0">
                <a:solidFill>
                  <a:schemeClr val="tx1"/>
                </a:solidFill>
              </a:rPr>
              <a:t> 10^5.6</a:t>
            </a:r>
          </a:p>
        </c:rich>
      </c:tx>
      <c:layout>
        <c:manualLayout>
          <c:xMode val="edge"/>
          <c:yMode val="edge"/>
          <c:x val="0.38247633738559061"/>
          <c:y val="4.221194952688579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729449918972179E-2"/>
          <c:y val="0.10946308890849492"/>
          <c:w val="0.88571778319429995"/>
          <c:h val="0.72128008773238339"/>
        </c:manualLayout>
      </c:layout>
      <c:scatterChart>
        <c:scatterStyle val="lineMarker"/>
        <c:varyColors val="0"/>
        <c:ser>
          <c:idx val="12"/>
          <c:order val="0"/>
          <c:tx>
            <c:strRef>
              <c:f>'[1]Feces over a week'!$K$1</c:f>
              <c:strCache>
                <c:ptCount val="1"/>
                <c:pt idx="0">
                  <c:v>Detection limit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>
                    <a:lumMod val="80000"/>
                    <a:lumOff val="2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errBars>
            <c:errDir val="x"/>
            <c:errBarType val="plus"/>
            <c:errValType val="fixedVal"/>
            <c:noEndCap val="1"/>
            <c:val val="28.9"/>
            <c:spPr>
              <a:noFill/>
              <a:ln w="9525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Lit>
              <c:formatCode>General</c:formatCode>
              <c:ptCount val="1"/>
              <c:pt idx="0">
                <c:v>0.6</c:v>
              </c:pt>
            </c:numLit>
          </c:xVal>
          <c:yVal>
            <c:numRef>
              <c:f>'[1]Feces over a week'!$K$2</c:f>
              <c:numCache>
                <c:formatCode>General</c:formatCode>
                <c:ptCount val="1"/>
                <c:pt idx="0">
                  <c:v>2.2300321986705574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E61-854D-A5CC-C4E6F9701B98}"/>
            </c:ext>
          </c:extLst>
        </c:ser>
        <c:ser>
          <c:idx val="0"/>
          <c:order val="1"/>
          <c:tx>
            <c:strRef>
              <c:f>'feces pos ttmnt - PA'!$A$1</c:f>
              <c:strCache>
                <c:ptCount val="1"/>
                <c:pt idx="0">
                  <c:v>5+2 Vanco BL004 LB mouse 1 10^5.6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'feces pos ttmnt - PA'!$R$2:$R$14</c:f>
              <c:numCache>
                <c:formatCode>General</c:formatCode>
                <c:ptCount val="13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  <c:pt idx="4">
                  <c:v>13.8</c:v>
                </c:pt>
              </c:numCache>
            </c:numRef>
          </c:xVal>
          <c:yVal>
            <c:numRef>
              <c:f>'feces pos ttmnt - PA'!$G$2:$G$6</c:f>
              <c:numCache>
                <c:formatCode>0.000</c:formatCode>
                <c:ptCount val="5"/>
                <c:pt idx="0">
                  <c:v>8.0540300165266672</c:v>
                </c:pt>
                <c:pt idx="1">
                  <c:v>8.0873071307194895</c:v>
                </c:pt>
                <c:pt idx="2">
                  <c:v>7.4101409301303898</c:v>
                </c:pt>
                <c:pt idx="3">
                  <c:v>5.3590219426416681</c:v>
                </c:pt>
                <c:pt idx="4">
                  <c:v>5.3611491624051242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E61-854D-A5CC-C4E6F9701B98}"/>
            </c:ext>
          </c:extLst>
        </c:ser>
        <c:ser>
          <c:idx val="3"/>
          <c:order val="2"/>
          <c:tx>
            <c:strRef>
              <c:f>'feces pos ttmnt - PA'!$A$8</c:f>
              <c:strCache>
                <c:ptCount val="1"/>
                <c:pt idx="0">
                  <c:v>5+2 Vanco BL004 LB mouse 2 10^5.6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'feces pos ttmnt - PA'!$S$2:$S$14</c:f>
              <c:numCache>
                <c:formatCode>General</c:formatCode>
                <c:ptCount val="13"/>
                <c:pt idx="0">
                  <c:v>2.9</c:v>
                </c:pt>
                <c:pt idx="1">
                  <c:v>4.8999999999999995</c:v>
                </c:pt>
                <c:pt idx="2">
                  <c:v>6.8999999999999995</c:v>
                </c:pt>
                <c:pt idx="3">
                  <c:v>9.9</c:v>
                </c:pt>
                <c:pt idx="4">
                  <c:v>13.9</c:v>
                </c:pt>
              </c:numCache>
            </c:numRef>
          </c:xVal>
          <c:yVal>
            <c:numRef>
              <c:f>'feces pos ttmnt - PA'!$G$9:$G$13</c:f>
              <c:numCache>
                <c:formatCode>0.000</c:formatCode>
                <c:ptCount val="5"/>
                <c:pt idx="0">
                  <c:v>8.1564557880543642</c:v>
                </c:pt>
                <c:pt idx="1">
                  <c:v>8.7169186115855801</c:v>
                </c:pt>
                <c:pt idx="2">
                  <c:v>8.4648867983026506</c:v>
                </c:pt>
                <c:pt idx="3">
                  <c:v>7.9021259588893278</c:v>
                </c:pt>
                <c:pt idx="4">
                  <c:v>6.6545779141245172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A2D-5647-91B9-F53F3660216C}"/>
            </c:ext>
          </c:extLst>
        </c:ser>
        <c:ser>
          <c:idx val="1"/>
          <c:order val="3"/>
          <c:tx>
            <c:strRef>
              <c:f>'feces pos ttmnt - PA'!$A$15</c:f>
              <c:strCache>
                <c:ptCount val="1"/>
                <c:pt idx="0">
                  <c:v>5+2 Vanco BL004 LB mouse 3 10^5.6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'feces pos ttmnt - PA'!$T$2:$T$14</c:f>
              <c:numCache>
                <c:formatCode>General</c:formatCode>
                <c:ptCount val="13"/>
                <c:pt idx="0">
                  <c:v>3</c:v>
                </c:pt>
                <c:pt idx="1">
                  <c:v>4.9999999999999991</c:v>
                </c:pt>
                <c:pt idx="2">
                  <c:v>6.9999999999999991</c:v>
                </c:pt>
                <c:pt idx="3">
                  <c:v>10</c:v>
                </c:pt>
                <c:pt idx="4">
                  <c:v>14</c:v>
                </c:pt>
              </c:numCache>
            </c:numRef>
          </c:xVal>
          <c:yVal>
            <c:numRef>
              <c:f>'feces pos ttmnt - PA'!$G$16:$G$20</c:f>
              <c:numCache>
                <c:formatCode>0.000</c:formatCode>
                <c:ptCount val="5"/>
                <c:pt idx="0">
                  <c:v>8.2899645695138187</c:v>
                </c:pt>
                <c:pt idx="1">
                  <c:v>7.3843368323011207</c:v>
                </c:pt>
                <c:pt idx="2">
                  <c:v>7.4044221361999574</c:v>
                </c:pt>
                <c:pt idx="3">
                  <c:v>7.6879746200345558</c:v>
                </c:pt>
                <c:pt idx="4">
                  <c:v>4.9507819773298181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EFA-1347-87CD-483D112FA540}"/>
            </c:ext>
          </c:extLst>
        </c:ser>
        <c:ser>
          <c:idx val="2"/>
          <c:order val="4"/>
          <c:tx>
            <c:strRef>
              <c:f>'feces pos ttmnt - PA'!$A$22</c:f>
              <c:strCache>
                <c:ptCount val="1"/>
                <c:pt idx="0">
                  <c:v>5+2 Vanco BL004 LB mouse 4 10^5.6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dPt>
            <c:idx val="0"/>
            <c:marker>
              <c:symbol val="circle"/>
              <c:size val="5"/>
              <c:spPr>
                <a:solidFill>
                  <a:schemeClr val="accent3"/>
                </a:solidFill>
                <a:ln w="9525">
                  <a:solidFill>
                    <a:schemeClr val="accent3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3-F289-5A49-90C3-F9F3E47B8E2F}"/>
              </c:ext>
            </c:extLst>
          </c:dPt>
          <c:xVal>
            <c:numRef>
              <c:f>'feces pos ttmnt - PA'!$U$2:$U$6</c:f>
              <c:numCache>
                <c:formatCode>General</c:formatCode>
                <c:ptCount val="5"/>
                <c:pt idx="0">
                  <c:v>3.1</c:v>
                </c:pt>
                <c:pt idx="1">
                  <c:v>5.0999999999999988</c:v>
                </c:pt>
                <c:pt idx="2">
                  <c:v>7.0999999999999988</c:v>
                </c:pt>
                <c:pt idx="3">
                  <c:v>10.1</c:v>
                </c:pt>
                <c:pt idx="4">
                  <c:v>14.1</c:v>
                </c:pt>
              </c:numCache>
            </c:numRef>
          </c:xVal>
          <c:yVal>
            <c:numRef>
              <c:f>'feces pos ttmnt - PA'!$G$23:$G$27</c:f>
              <c:numCache>
                <c:formatCode>0.000</c:formatCode>
                <c:ptCount val="5"/>
                <c:pt idx="0">
                  <c:v>8.4674796088809288</c:v>
                </c:pt>
                <c:pt idx="1">
                  <c:v>8.6642078980768069</c:v>
                </c:pt>
                <c:pt idx="2">
                  <c:v>8.3684059300744753</c:v>
                </c:pt>
                <c:pt idx="3">
                  <c:v>7.7662316141920229</c:v>
                </c:pt>
                <c:pt idx="4">
                  <c:v>6.6064247967304128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F289-5A49-90C3-F9F3E47B8E2F}"/>
            </c:ext>
          </c:extLst>
        </c:ser>
        <c:ser>
          <c:idx val="4"/>
          <c:order val="5"/>
          <c:tx>
            <c:strRef>
              <c:f>'feces pos ttmnt - PA'!$A$29</c:f>
              <c:strCache>
                <c:ptCount val="1"/>
                <c:pt idx="0">
                  <c:v>5+2 Vanco BL004 LB mouse 5 10^5.6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7030A0"/>
              </a:solidFill>
              <a:ln w="9525">
                <a:solidFill>
                  <a:srgbClr val="7030A0"/>
                </a:solidFill>
              </a:ln>
              <a:effectLst/>
            </c:spPr>
          </c:marker>
          <c:xVal>
            <c:numRef>
              <c:f>'feces pos ttmnt - PA'!$V$2:$V$6</c:f>
              <c:numCache>
                <c:formatCode>General</c:formatCode>
                <c:ptCount val="5"/>
                <c:pt idx="0">
                  <c:v>3.2</c:v>
                </c:pt>
                <c:pt idx="1">
                  <c:v>5.1999999999999984</c:v>
                </c:pt>
                <c:pt idx="2">
                  <c:v>7.1999999999999984</c:v>
                </c:pt>
                <c:pt idx="3">
                  <c:v>10.199999999999999</c:v>
                </c:pt>
                <c:pt idx="4">
                  <c:v>14.2</c:v>
                </c:pt>
              </c:numCache>
            </c:numRef>
          </c:xVal>
          <c:yVal>
            <c:numRef>
              <c:f>'feces pos ttmnt - PA'!$G$30:$G$34</c:f>
              <c:numCache>
                <c:formatCode>0.000</c:formatCode>
                <c:ptCount val="5"/>
                <c:pt idx="0">
                  <c:v>8.512861624522813</c:v>
                </c:pt>
                <c:pt idx="1">
                  <c:v>8.1177601519811766</c:v>
                </c:pt>
                <c:pt idx="2">
                  <c:v>8.0543068706165641</c:v>
                </c:pt>
                <c:pt idx="3">
                  <c:v>7.5221369953444279</c:v>
                </c:pt>
                <c:pt idx="4">
                  <c:v>6.2518119729937993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F39E-7F46-9EA9-F1964F8383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4808127"/>
        <c:axId val="943838671"/>
      </c:scatterChart>
      <c:valAx>
        <c:axId val="904808127"/>
        <c:scaling>
          <c:orientation val="minMax"/>
          <c:max val="15"/>
          <c:min val="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chemeClr val="tx1"/>
                    </a:solidFill>
                  </a:rPr>
                  <a:t>Days post</a:t>
                </a:r>
                <a:r>
                  <a:rPr lang="en-US" sz="1600" baseline="0">
                    <a:solidFill>
                      <a:schemeClr val="tx1"/>
                    </a:solidFill>
                  </a:rPr>
                  <a:t> treatment</a:t>
                </a:r>
                <a:endParaRPr lang="en-US" sz="1600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0.40896302403551704"/>
              <c:y val="0.9032762468170398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3838671"/>
        <c:crosses val="autoZero"/>
        <c:crossBetween val="midCat"/>
        <c:majorUnit val="1"/>
      </c:valAx>
      <c:valAx>
        <c:axId val="943838671"/>
        <c:scaling>
          <c:orientation val="minMax"/>
          <c:max val="13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</a:rPr>
                  <a:t>CFU/g of feces (log 10)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4808127"/>
        <c:crossesAt val="0.5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2000">
                <a:solidFill>
                  <a:schemeClr val="tx1"/>
                </a:solidFill>
              </a:rPr>
              <a:t>BL048</a:t>
            </a:r>
            <a:r>
              <a:rPr lang="en-US" sz="2000" baseline="0">
                <a:solidFill>
                  <a:schemeClr val="tx1"/>
                </a:solidFill>
              </a:rPr>
              <a:t> V5+0 10^5.9</a:t>
            </a:r>
          </a:p>
        </c:rich>
      </c:tx>
      <c:layout>
        <c:manualLayout>
          <c:xMode val="edge"/>
          <c:yMode val="edge"/>
          <c:x val="0.38247633738559061"/>
          <c:y val="4.221194952688579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729449918972179E-2"/>
          <c:y val="0.10946308890849492"/>
          <c:w val="0.88571778319429995"/>
          <c:h val="0.72128008773238339"/>
        </c:manualLayout>
      </c:layout>
      <c:scatterChart>
        <c:scatterStyle val="lineMarker"/>
        <c:varyColors val="0"/>
        <c:ser>
          <c:idx val="12"/>
          <c:order val="0"/>
          <c:tx>
            <c:strRef>
              <c:f>'[1]Feces over a week'!$K$1</c:f>
              <c:strCache>
                <c:ptCount val="1"/>
                <c:pt idx="0">
                  <c:v>Detection limit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>
                    <a:lumMod val="80000"/>
                    <a:lumOff val="2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errBars>
            <c:errDir val="x"/>
            <c:errBarType val="plus"/>
            <c:errValType val="fixedVal"/>
            <c:noEndCap val="1"/>
            <c:val val="28.9"/>
            <c:spPr>
              <a:noFill/>
              <a:ln w="9525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Lit>
              <c:formatCode>General</c:formatCode>
              <c:ptCount val="1"/>
              <c:pt idx="0">
                <c:v>0.6</c:v>
              </c:pt>
            </c:numLit>
          </c:xVal>
          <c:yVal>
            <c:numRef>
              <c:f>'[1]Feces over a week'!$K$2</c:f>
              <c:numCache>
                <c:formatCode>General</c:formatCode>
                <c:ptCount val="1"/>
                <c:pt idx="0">
                  <c:v>2.2300321986705574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FD9-FD44-B571-1329B767FFE6}"/>
            </c:ext>
          </c:extLst>
        </c:ser>
        <c:ser>
          <c:idx val="3"/>
          <c:order val="1"/>
          <c:tx>
            <c:strRef>
              <c:f>'feces pos ttmnt - PA'!$A$36</c:f>
              <c:strCache>
                <c:ptCount val="1"/>
                <c:pt idx="0">
                  <c:v>5+0 Vanco BL048 LB mouse 1 10^5.9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'feces pos ttmnt - PA'!$X$2:$X$11</c:f>
              <c:numCache>
                <c:formatCode>General</c:formatCode>
                <c:ptCount val="10"/>
                <c:pt idx="0">
                  <c:v>0.8</c:v>
                </c:pt>
                <c:pt idx="1">
                  <c:v>1.8</c:v>
                </c:pt>
                <c:pt idx="2">
                  <c:v>2.8</c:v>
                </c:pt>
                <c:pt idx="3">
                  <c:v>3.8</c:v>
                </c:pt>
                <c:pt idx="4">
                  <c:v>4.8</c:v>
                </c:pt>
                <c:pt idx="5">
                  <c:v>5.8</c:v>
                </c:pt>
                <c:pt idx="6">
                  <c:v>6.8</c:v>
                </c:pt>
                <c:pt idx="7">
                  <c:v>9.8000000000000007</c:v>
                </c:pt>
                <c:pt idx="8">
                  <c:v>11.8</c:v>
                </c:pt>
                <c:pt idx="9">
                  <c:v>13.8</c:v>
                </c:pt>
              </c:numCache>
            </c:numRef>
          </c:xVal>
          <c:yVal>
            <c:numRef>
              <c:f>'feces pos ttmnt - PA'!$G$37:$G$43</c:f>
              <c:numCache>
                <c:formatCode>0.000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DFD9-FD44-B571-1329B767FFE6}"/>
            </c:ext>
          </c:extLst>
        </c:ser>
        <c:ser>
          <c:idx val="0"/>
          <c:order val="2"/>
          <c:tx>
            <c:strRef>
              <c:f>'feces pos ttmnt - PA'!$A$45</c:f>
              <c:strCache>
                <c:ptCount val="1"/>
                <c:pt idx="0">
                  <c:v>5+0 Vanco BL048 LB mouse 2 10^5.9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'feces pos ttmnt - PA'!$Y$2:$Y$11</c:f>
              <c:numCache>
                <c:formatCode>General</c:formatCode>
                <c:ptCount val="10"/>
                <c:pt idx="0">
                  <c:v>0.9</c:v>
                </c:pt>
                <c:pt idx="1">
                  <c:v>1.9</c:v>
                </c:pt>
                <c:pt idx="2">
                  <c:v>2.9</c:v>
                </c:pt>
                <c:pt idx="3">
                  <c:v>3.9</c:v>
                </c:pt>
                <c:pt idx="4">
                  <c:v>4.9000000000000004</c:v>
                </c:pt>
                <c:pt idx="5">
                  <c:v>5.9</c:v>
                </c:pt>
                <c:pt idx="6">
                  <c:v>6.9</c:v>
                </c:pt>
                <c:pt idx="7">
                  <c:v>9.9</c:v>
                </c:pt>
                <c:pt idx="8">
                  <c:v>11.9</c:v>
                </c:pt>
                <c:pt idx="9">
                  <c:v>13.9</c:v>
                </c:pt>
              </c:numCache>
            </c:numRef>
          </c:xVal>
          <c:yVal>
            <c:numRef>
              <c:f>'feces pos ttmnt - PA'!$G$46:$G$52</c:f>
              <c:numCache>
                <c:formatCode>0.000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4.3098039199714853</c:v>
                </c:pt>
                <c:pt idx="4">
                  <c:v>3.9450041384708574</c:v>
                </c:pt>
                <c:pt idx="5">
                  <c:v>0</c:v>
                </c:pt>
                <c:pt idx="6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C4A-B449-90F7-0066D69ABC71}"/>
            </c:ext>
          </c:extLst>
        </c:ser>
        <c:ser>
          <c:idx val="1"/>
          <c:order val="3"/>
          <c:tx>
            <c:strRef>
              <c:f>'feces pos ttmnt - PA'!$A$54</c:f>
              <c:strCache>
                <c:ptCount val="1"/>
                <c:pt idx="0">
                  <c:v>5+0 Vanco BL048 LB mouse 3 10^5.9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'feces pos ttmnt - PA'!$Z$2:$Z$11</c:f>
              <c:numCache>
                <c:formatCode>General</c:formatCode>
                <c:ptCount val="1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10</c:v>
                </c:pt>
                <c:pt idx="8">
                  <c:v>12</c:v>
                </c:pt>
                <c:pt idx="9">
                  <c:v>14</c:v>
                </c:pt>
              </c:numCache>
            </c:numRef>
          </c:xVal>
          <c:yVal>
            <c:numRef>
              <c:f>'feces pos ttmnt - PA'!$G$55:$G$61</c:f>
              <c:numCache>
                <c:formatCode>0.000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3.5883802940367695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3.3265183029266532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8C4A-B449-90F7-0066D69ABC71}"/>
            </c:ext>
          </c:extLst>
        </c:ser>
        <c:ser>
          <c:idx val="2"/>
          <c:order val="4"/>
          <c:tx>
            <c:strRef>
              <c:f>'feces pos ttmnt - PA'!$A$63</c:f>
              <c:strCache>
                <c:ptCount val="1"/>
                <c:pt idx="0">
                  <c:v>5+0 Vanco BL048 LB mouse 4 10^5.9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'feces pos ttmnt - PA'!$AA$2:$AA$11</c:f>
              <c:numCache>
                <c:formatCode>General</c:formatCode>
                <c:ptCount val="10"/>
                <c:pt idx="0">
                  <c:v>1.1000000000000001</c:v>
                </c:pt>
                <c:pt idx="1">
                  <c:v>2.1</c:v>
                </c:pt>
                <c:pt idx="2">
                  <c:v>3.1</c:v>
                </c:pt>
                <c:pt idx="3">
                  <c:v>4.0999999999999996</c:v>
                </c:pt>
                <c:pt idx="4">
                  <c:v>5.0999999999999996</c:v>
                </c:pt>
                <c:pt idx="5">
                  <c:v>6.1</c:v>
                </c:pt>
                <c:pt idx="6">
                  <c:v>7.1</c:v>
                </c:pt>
                <c:pt idx="7">
                  <c:v>10.1</c:v>
                </c:pt>
                <c:pt idx="8">
                  <c:v>12.1</c:v>
                </c:pt>
                <c:pt idx="9">
                  <c:v>14.1</c:v>
                </c:pt>
              </c:numCache>
            </c:numRef>
          </c:xVal>
          <c:yVal>
            <c:numRef>
              <c:f>'feces pos ttmnt - PA'!$G$64:$G$70</c:f>
              <c:numCache>
                <c:formatCode>0.000</c:formatCode>
                <c:ptCount val="7"/>
                <c:pt idx="0">
                  <c:v>3.1938200260161129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8C4A-B449-90F7-0066D69ABC71}"/>
            </c:ext>
          </c:extLst>
        </c:ser>
        <c:ser>
          <c:idx val="4"/>
          <c:order val="5"/>
          <c:tx>
            <c:strRef>
              <c:f>'feces pos ttmnt - PA'!$A$72</c:f>
              <c:strCache>
                <c:ptCount val="1"/>
                <c:pt idx="0">
                  <c:v>5+0 Vanco BL048 LB mouse 5 10^5.9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'feces pos ttmnt - PA'!$AB$2:$AB$11</c:f>
              <c:numCache>
                <c:formatCode>General</c:formatCode>
                <c:ptCount val="10"/>
                <c:pt idx="0">
                  <c:v>1.2</c:v>
                </c:pt>
                <c:pt idx="1">
                  <c:v>2.2000000000000002</c:v>
                </c:pt>
                <c:pt idx="2">
                  <c:v>3.2</c:v>
                </c:pt>
                <c:pt idx="3">
                  <c:v>4.2</c:v>
                </c:pt>
                <c:pt idx="4">
                  <c:v>5.2</c:v>
                </c:pt>
                <c:pt idx="5">
                  <c:v>6.2</c:v>
                </c:pt>
                <c:pt idx="6">
                  <c:v>7.2</c:v>
                </c:pt>
                <c:pt idx="7">
                  <c:v>10.199999999999999</c:v>
                </c:pt>
                <c:pt idx="8">
                  <c:v>12.2</c:v>
                </c:pt>
                <c:pt idx="9">
                  <c:v>14.2</c:v>
                </c:pt>
              </c:numCache>
            </c:numRef>
          </c:xVal>
          <c:yVal>
            <c:numRef>
              <c:f>'feces pos ttmnt - PA'!$G$73:$G$79</c:f>
              <c:numCache>
                <c:formatCode>0.000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8C4A-B449-90F7-0066D69ABC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4808127"/>
        <c:axId val="943838671"/>
      </c:scatterChart>
      <c:valAx>
        <c:axId val="904808127"/>
        <c:scaling>
          <c:orientation val="minMax"/>
          <c:max val="15"/>
          <c:min val="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chemeClr val="tx1"/>
                    </a:solidFill>
                  </a:rPr>
                  <a:t>Days post</a:t>
                </a:r>
                <a:r>
                  <a:rPr lang="en-US" sz="1600" baseline="0">
                    <a:solidFill>
                      <a:schemeClr val="tx1"/>
                    </a:solidFill>
                  </a:rPr>
                  <a:t> treatment</a:t>
                </a:r>
                <a:endParaRPr lang="en-US" sz="1600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0.40896302403551704"/>
              <c:y val="0.9032762468170398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3838671"/>
        <c:crosses val="autoZero"/>
        <c:crossBetween val="midCat"/>
        <c:majorUnit val="1"/>
      </c:valAx>
      <c:valAx>
        <c:axId val="943838671"/>
        <c:scaling>
          <c:orientation val="minMax"/>
          <c:max val="13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</a:rPr>
                  <a:t>CFU/g of feces (log 10)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4808127"/>
        <c:crossesAt val="0.5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2000">
                <a:solidFill>
                  <a:schemeClr val="tx1"/>
                </a:solidFill>
              </a:rPr>
              <a:t>BL048</a:t>
            </a:r>
            <a:r>
              <a:rPr lang="en-US" sz="2000" baseline="0">
                <a:solidFill>
                  <a:schemeClr val="tx1"/>
                </a:solidFill>
              </a:rPr>
              <a:t> V5+2 10^5.9</a:t>
            </a:r>
          </a:p>
        </c:rich>
      </c:tx>
      <c:layout>
        <c:manualLayout>
          <c:xMode val="edge"/>
          <c:yMode val="edge"/>
          <c:x val="0.38247633738559061"/>
          <c:y val="4.221194952688579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729449918972179E-2"/>
          <c:y val="0.10946308890849492"/>
          <c:w val="0.88571778319429995"/>
          <c:h val="0.72128008773238339"/>
        </c:manualLayout>
      </c:layout>
      <c:scatterChart>
        <c:scatterStyle val="lineMarker"/>
        <c:varyColors val="0"/>
        <c:ser>
          <c:idx val="12"/>
          <c:order val="0"/>
          <c:tx>
            <c:strRef>
              <c:f>'[1]Feces over a week'!$K$1</c:f>
              <c:strCache>
                <c:ptCount val="1"/>
                <c:pt idx="0">
                  <c:v>Detection limit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>
                    <a:lumMod val="80000"/>
                    <a:lumOff val="2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errBars>
            <c:errDir val="x"/>
            <c:errBarType val="plus"/>
            <c:errValType val="fixedVal"/>
            <c:noEndCap val="1"/>
            <c:val val="28.9"/>
            <c:spPr>
              <a:noFill/>
              <a:ln w="9525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Lit>
              <c:formatCode>General</c:formatCode>
              <c:ptCount val="1"/>
              <c:pt idx="0">
                <c:v>0.6</c:v>
              </c:pt>
            </c:numLit>
          </c:xVal>
          <c:yVal>
            <c:numRef>
              <c:f>'[1]Feces over a week'!$K$2</c:f>
              <c:numCache>
                <c:formatCode>General</c:formatCode>
                <c:ptCount val="1"/>
                <c:pt idx="0">
                  <c:v>2.2300321986705574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B38-7244-9AEA-A6913017303B}"/>
            </c:ext>
          </c:extLst>
        </c:ser>
        <c:ser>
          <c:idx val="0"/>
          <c:order val="1"/>
          <c:tx>
            <c:strRef>
              <c:f>'feces pos ttmnt - PA'!$A$81</c:f>
              <c:strCache>
                <c:ptCount val="1"/>
                <c:pt idx="0">
                  <c:v>5+2 Vanco BL048 LB mouse 1 10^5.9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'feces pos ttmnt - PA'!$X$2:$X$11</c:f>
              <c:numCache>
                <c:formatCode>General</c:formatCode>
                <c:ptCount val="10"/>
                <c:pt idx="0">
                  <c:v>0.8</c:v>
                </c:pt>
                <c:pt idx="1">
                  <c:v>1.8</c:v>
                </c:pt>
                <c:pt idx="2">
                  <c:v>2.8</c:v>
                </c:pt>
                <c:pt idx="3">
                  <c:v>3.8</c:v>
                </c:pt>
                <c:pt idx="4">
                  <c:v>4.8</c:v>
                </c:pt>
                <c:pt idx="5">
                  <c:v>5.8</c:v>
                </c:pt>
                <c:pt idx="6">
                  <c:v>6.8</c:v>
                </c:pt>
                <c:pt idx="7">
                  <c:v>9.8000000000000007</c:v>
                </c:pt>
                <c:pt idx="8">
                  <c:v>11.8</c:v>
                </c:pt>
                <c:pt idx="9">
                  <c:v>13.8</c:v>
                </c:pt>
              </c:numCache>
            </c:numRef>
          </c:xVal>
          <c:yVal>
            <c:numRef>
              <c:f>'feces pos ttmnt - PA'!$G$82:$G$91</c:f>
              <c:numCache>
                <c:formatCode>0.000</c:formatCode>
                <c:ptCount val="10"/>
                <c:pt idx="0">
                  <c:v>6.6423965490338697</c:v>
                </c:pt>
                <c:pt idx="1">
                  <c:v>8.031791834423851</c:v>
                </c:pt>
                <c:pt idx="2">
                  <c:v>7.7341344213992684</c:v>
                </c:pt>
                <c:pt idx="3">
                  <c:v>7.554670579704192</c:v>
                </c:pt>
                <c:pt idx="4">
                  <c:v>8.3000093266115744</c:v>
                </c:pt>
                <c:pt idx="5">
                  <c:v>8.6398485522173623</c:v>
                </c:pt>
                <c:pt idx="6">
                  <c:v>8.467212966059412</c:v>
                </c:pt>
                <c:pt idx="7">
                  <c:v>7.5866203950357427</c:v>
                </c:pt>
                <c:pt idx="8">
                  <c:v>7.4705973951925815</c:v>
                </c:pt>
                <c:pt idx="9">
                  <c:v>5.6915176759356312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2FC-5543-BABF-0FEDBEA8EED6}"/>
            </c:ext>
          </c:extLst>
        </c:ser>
        <c:ser>
          <c:idx val="1"/>
          <c:order val="2"/>
          <c:tx>
            <c:strRef>
              <c:f>'feces pos ttmnt - PA'!$A$93</c:f>
              <c:strCache>
                <c:ptCount val="1"/>
                <c:pt idx="0">
                  <c:v>5+2 Vanco BL048 LB mouse 2 10^5.9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'feces pos ttmnt - PA'!$Y$2:$Y$11</c:f>
              <c:numCache>
                <c:formatCode>General</c:formatCode>
                <c:ptCount val="10"/>
                <c:pt idx="0">
                  <c:v>0.9</c:v>
                </c:pt>
                <c:pt idx="1">
                  <c:v>1.9</c:v>
                </c:pt>
                <c:pt idx="2">
                  <c:v>2.9</c:v>
                </c:pt>
                <c:pt idx="3">
                  <c:v>3.9</c:v>
                </c:pt>
                <c:pt idx="4">
                  <c:v>4.9000000000000004</c:v>
                </c:pt>
                <c:pt idx="5">
                  <c:v>5.9</c:v>
                </c:pt>
                <c:pt idx="6">
                  <c:v>6.9</c:v>
                </c:pt>
                <c:pt idx="7">
                  <c:v>9.9</c:v>
                </c:pt>
                <c:pt idx="8">
                  <c:v>11.9</c:v>
                </c:pt>
                <c:pt idx="9">
                  <c:v>13.9</c:v>
                </c:pt>
              </c:numCache>
            </c:numRef>
          </c:xVal>
          <c:yVal>
            <c:numRef>
              <c:f>'feces pos ttmnt - PA'!$G$94:$G$103</c:f>
              <c:numCache>
                <c:formatCode>0.000</c:formatCode>
                <c:ptCount val="10"/>
                <c:pt idx="0">
                  <c:v>6.761433188399546</c:v>
                </c:pt>
                <c:pt idx="1">
                  <c:v>8.1764791951975138</c:v>
                </c:pt>
                <c:pt idx="2">
                  <c:v>8.4734738891024755</c:v>
                </c:pt>
                <c:pt idx="3">
                  <c:v>8.3603850022286554</c:v>
                </c:pt>
                <c:pt idx="4">
                  <c:v>8.4154896481884336</c:v>
                </c:pt>
                <c:pt idx="5">
                  <c:v>8.4715975620463837</c:v>
                </c:pt>
                <c:pt idx="6">
                  <c:v>8.5039934011199652</c:v>
                </c:pt>
                <c:pt idx="7">
                  <c:v>7.3776917597685756</c:v>
                </c:pt>
                <c:pt idx="8">
                  <c:v>6.2277375785794602</c:v>
                </c:pt>
                <c:pt idx="9">
                  <c:v>6.0273587509127244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72FC-5543-BABF-0FEDBEA8EED6}"/>
            </c:ext>
          </c:extLst>
        </c:ser>
        <c:ser>
          <c:idx val="2"/>
          <c:order val="3"/>
          <c:tx>
            <c:strRef>
              <c:f>'feces pos ttmnt - PA'!$A$105</c:f>
              <c:strCache>
                <c:ptCount val="1"/>
                <c:pt idx="0">
                  <c:v>5+2 Vanco BL048 LB mouse 3 10^5.9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'feces pos ttmnt - PA'!$Z$2:$Z$11</c:f>
              <c:numCache>
                <c:formatCode>General</c:formatCode>
                <c:ptCount val="1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10</c:v>
                </c:pt>
                <c:pt idx="8">
                  <c:v>12</c:v>
                </c:pt>
                <c:pt idx="9">
                  <c:v>14</c:v>
                </c:pt>
              </c:numCache>
            </c:numRef>
          </c:xVal>
          <c:yVal>
            <c:numRef>
              <c:f>'feces pos ttmnt - PA'!$G$106:$G$115</c:f>
              <c:numCache>
                <c:formatCode>0.000</c:formatCode>
                <c:ptCount val="10"/>
                <c:pt idx="0">
                  <c:v>7.9374349536038595</c:v>
                </c:pt>
                <c:pt idx="1">
                  <c:v>7.8981547693164318</c:v>
                </c:pt>
                <c:pt idx="2">
                  <c:v>8.2736558230269814</c:v>
                </c:pt>
                <c:pt idx="3">
                  <c:v>8.4609422254823201</c:v>
                </c:pt>
                <c:pt idx="4">
                  <c:v>8.0551552649010549</c:v>
                </c:pt>
                <c:pt idx="5">
                  <c:v>7.7988648708935377</c:v>
                </c:pt>
                <c:pt idx="6">
                  <c:v>7.1802078252505135</c:v>
                </c:pt>
                <c:pt idx="7">
                  <c:v>6.9372734196386876</c:v>
                </c:pt>
                <c:pt idx="8">
                  <c:v>5.3864020952782798</c:v>
                </c:pt>
                <c:pt idx="9">
                  <c:v>6.3411665427493347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72FC-5543-BABF-0FEDBEA8EED6}"/>
            </c:ext>
          </c:extLst>
        </c:ser>
        <c:ser>
          <c:idx val="3"/>
          <c:order val="4"/>
          <c:tx>
            <c:strRef>
              <c:f>'feces pos ttmnt - PA'!$A$117</c:f>
              <c:strCache>
                <c:ptCount val="1"/>
                <c:pt idx="0">
                  <c:v>5+2 Vanco BL048 LB mouse 4 10^5.9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'feces pos ttmnt - PA'!$AA$2:$AA$11</c:f>
              <c:numCache>
                <c:formatCode>General</c:formatCode>
                <c:ptCount val="10"/>
                <c:pt idx="0">
                  <c:v>1.1000000000000001</c:v>
                </c:pt>
                <c:pt idx="1">
                  <c:v>2.1</c:v>
                </c:pt>
                <c:pt idx="2">
                  <c:v>3.1</c:v>
                </c:pt>
                <c:pt idx="3">
                  <c:v>4.0999999999999996</c:v>
                </c:pt>
                <c:pt idx="4">
                  <c:v>5.0999999999999996</c:v>
                </c:pt>
                <c:pt idx="5">
                  <c:v>6.1</c:v>
                </c:pt>
                <c:pt idx="6">
                  <c:v>7.1</c:v>
                </c:pt>
                <c:pt idx="7">
                  <c:v>10.1</c:v>
                </c:pt>
                <c:pt idx="8">
                  <c:v>12.1</c:v>
                </c:pt>
                <c:pt idx="9">
                  <c:v>14.1</c:v>
                </c:pt>
              </c:numCache>
            </c:numRef>
          </c:xVal>
          <c:yVal>
            <c:numRef>
              <c:f>'feces pos ttmnt - PA'!$G$118:$G$127</c:f>
              <c:numCache>
                <c:formatCode>0.000</c:formatCode>
                <c:ptCount val="10"/>
                <c:pt idx="0">
                  <c:v>7.4259687322722812</c:v>
                </c:pt>
                <c:pt idx="1">
                  <c:v>7.5039934011199634</c:v>
                </c:pt>
                <c:pt idx="2">
                  <c:v>8.1187784279034823</c:v>
                </c:pt>
                <c:pt idx="3">
                  <c:v>8.021363051615527</c:v>
                </c:pt>
                <c:pt idx="4">
                  <c:v>8.4611961956420814</c:v>
                </c:pt>
                <c:pt idx="5">
                  <c:v>8.4659738939438665</c:v>
                </c:pt>
                <c:pt idx="6">
                  <c:v>8.2138357089824829</c:v>
                </c:pt>
                <c:pt idx="7">
                  <c:v>7.3806457534856245</c:v>
                </c:pt>
                <c:pt idx="8">
                  <c:v>6.3744589128225151</c:v>
                </c:pt>
                <c:pt idx="9">
                  <c:v>5.5329790721846637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72FC-5543-BABF-0FEDBEA8EED6}"/>
            </c:ext>
          </c:extLst>
        </c:ser>
        <c:ser>
          <c:idx val="4"/>
          <c:order val="5"/>
          <c:tx>
            <c:strRef>
              <c:f>'feces pos ttmnt - PA'!$A$129</c:f>
              <c:strCache>
                <c:ptCount val="1"/>
                <c:pt idx="0">
                  <c:v>5+2 Vanco BL048 LB mouse 5 10^5.9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'feces pos ttmnt - PA'!$AB$2:$AB$11</c:f>
              <c:numCache>
                <c:formatCode>General</c:formatCode>
                <c:ptCount val="10"/>
                <c:pt idx="0">
                  <c:v>1.2</c:v>
                </c:pt>
                <c:pt idx="1">
                  <c:v>2.2000000000000002</c:v>
                </c:pt>
                <c:pt idx="2">
                  <c:v>3.2</c:v>
                </c:pt>
                <c:pt idx="3">
                  <c:v>4.2</c:v>
                </c:pt>
                <c:pt idx="4">
                  <c:v>5.2</c:v>
                </c:pt>
                <c:pt idx="5">
                  <c:v>6.2</c:v>
                </c:pt>
                <c:pt idx="6">
                  <c:v>7.2</c:v>
                </c:pt>
                <c:pt idx="7">
                  <c:v>10.199999999999999</c:v>
                </c:pt>
                <c:pt idx="8">
                  <c:v>12.2</c:v>
                </c:pt>
                <c:pt idx="9">
                  <c:v>14.2</c:v>
                </c:pt>
              </c:numCache>
            </c:numRef>
          </c:xVal>
          <c:yVal>
            <c:numRef>
              <c:f>'feces pos ttmnt - PA'!$G$130:$G$139</c:f>
              <c:numCache>
                <c:formatCode>0.000</c:formatCode>
                <c:ptCount val="10"/>
                <c:pt idx="0">
                  <c:v>7.9236116541365451</c:v>
                </c:pt>
                <c:pt idx="1">
                  <c:v>7.9039180034141765</c:v>
                </c:pt>
                <c:pt idx="2">
                  <c:v>8.4257574481611304</c:v>
                </c:pt>
                <c:pt idx="3">
                  <c:v>8.0713559085356685</c:v>
                </c:pt>
                <c:pt idx="4">
                  <c:v>8.4084054423502028</c:v>
                </c:pt>
                <c:pt idx="5">
                  <c:v>7.9586073148417773</c:v>
                </c:pt>
                <c:pt idx="6">
                  <c:v>8.0479903719929684</c:v>
                </c:pt>
                <c:pt idx="7">
                  <c:v>6.4764536227943248</c:v>
                </c:pt>
                <c:pt idx="8">
                  <c:v>5.4280924259021379</c:v>
                </c:pt>
                <c:pt idx="9">
                  <c:v>4.2375089959739896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72FC-5543-BABF-0FEDBEA8EE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4808127"/>
        <c:axId val="943838671"/>
      </c:scatterChart>
      <c:valAx>
        <c:axId val="904808127"/>
        <c:scaling>
          <c:orientation val="minMax"/>
          <c:max val="15"/>
          <c:min val="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chemeClr val="tx1"/>
                    </a:solidFill>
                  </a:rPr>
                  <a:t>Days post</a:t>
                </a:r>
                <a:r>
                  <a:rPr lang="en-US" sz="1600" baseline="0">
                    <a:solidFill>
                      <a:schemeClr val="tx1"/>
                    </a:solidFill>
                  </a:rPr>
                  <a:t> treatment</a:t>
                </a:r>
                <a:endParaRPr lang="en-US" sz="1600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0.40896302403551704"/>
              <c:y val="0.9032762468170398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3838671"/>
        <c:crosses val="autoZero"/>
        <c:crossBetween val="midCat"/>
        <c:majorUnit val="1"/>
      </c:valAx>
      <c:valAx>
        <c:axId val="943838671"/>
        <c:scaling>
          <c:orientation val="minMax"/>
          <c:max val="13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</a:rPr>
                  <a:t>CFU/g of feces (log 10)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4808127"/>
        <c:crossesAt val="0.5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2000" baseline="0">
                <a:solidFill>
                  <a:schemeClr val="tx1"/>
                </a:solidFill>
              </a:rPr>
              <a:t>Males BL048 10^5.6</a:t>
            </a:r>
          </a:p>
        </c:rich>
      </c:tx>
      <c:layout>
        <c:manualLayout>
          <c:xMode val="edge"/>
          <c:yMode val="edge"/>
          <c:x val="0.38247641422740414"/>
          <c:y val="4.221194396137821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729449918972179E-2"/>
          <c:y val="0.10946308890849492"/>
          <c:w val="0.88571778319429995"/>
          <c:h val="0.72128008773238339"/>
        </c:manualLayout>
      </c:layout>
      <c:scatterChart>
        <c:scatterStyle val="lineMarker"/>
        <c:varyColors val="0"/>
        <c:ser>
          <c:idx val="12"/>
          <c:order val="0"/>
          <c:tx>
            <c:strRef>
              <c:f>'[1]Feces over a week'!$K$1</c:f>
              <c:strCache>
                <c:ptCount val="1"/>
                <c:pt idx="0">
                  <c:v>Detection limit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>
                    <a:lumMod val="80000"/>
                    <a:lumOff val="2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errBars>
            <c:errDir val="x"/>
            <c:errBarType val="plus"/>
            <c:errValType val="fixedVal"/>
            <c:noEndCap val="1"/>
            <c:val val="28.9"/>
            <c:spPr>
              <a:noFill/>
              <a:ln w="9525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Lit>
              <c:formatCode>General</c:formatCode>
              <c:ptCount val="1"/>
              <c:pt idx="0">
                <c:v>0.6</c:v>
              </c:pt>
            </c:numLit>
          </c:xVal>
          <c:yVal>
            <c:numRef>
              <c:f>'[1]Feces over a week'!$K$2</c:f>
              <c:numCache>
                <c:formatCode>General</c:formatCode>
                <c:ptCount val="1"/>
                <c:pt idx="0">
                  <c:v>2.2300321986705574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2D5-9541-AB03-888809F789DB}"/>
            </c:ext>
          </c:extLst>
        </c:ser>
        <c:ser>
          <c:idx val="0"/>
          <c:order val="1"/>
          <c:tx>
            <c:strRef>
              <c:f>'feces pos ttmnt - PA'!$A$141</c:f>
              <c:strCache>
                <c:ptCount val="1"/>
                <c:pt idx="0">
                  <c:v>5+2 Vanco BL048 LB male mouse 1 10^5.6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'feces pos ttmnt - PA'!$X$2:$X$11</c:f>
              <c:numCache>
                <c:formatCode>General</c:formatCode>
                <c:ptCount val="10"/>
                <c:pt idx="0">
                  <c:v>0.8</c:v>
                </c:pt>
                <c:pt idx="1">
                  <c:v>1.8</c:v>
                </c:pt>
                <c:pt idx="2">
                  <c:v>2.8</c:v>
                </c:pt>
                <c:pt idx="3">
                  <c:v>3.8</c:v>
                </c:pt>
                <c:pt idx="4">
                  <c:v>4.8</c:v>
                </c:pt>
                <c:pt idx="5">
                  <c:v>5.8</c:v>
                </c:pt>
                <c:pt idx="6">
                  <c:v>6.8</c:v>
                </c:pt>
                <c:pt idx="7">
                  <c:v>9.8000000000000007</c:v>
                </c:pt>
                <c:pt idx="8">
                  <c:v>11.8</c:v>
                </c:pt>
                <c:pt idx="9">
                  <c:v>13.8</c:v>
                </c:pt>
              </c:numCache>
            </c:numRef>
          </c:xVal>
          <c:yVal>
            <c:numRef>
              <c:f>'feces pos ttmnt - PA'!$G$142:$G$151</c:f>
              <c:numCache>
                <c:formatCode>0.000</c:formatCode>
                <c:ptCount val="10"/>
                <c:pt idx="0">
                  <c:v>3.7033348097384691</c:v>
                </c:pt>
                <c:pt idx="1">
                  <c:v>3.283996656365201</c:v>
                </c:pt>
                <c:pt idx="2">
                  <c:v>0</c:v>
                </c:pt>
                <c:pt idx="3">
                  <c:v>4.5133334273741088</c:v>
                </c:pt>
                <c:pt idx="4">
                  <c:v>5.8672771792145539</c:v>
                </c:pt>
                <c:pt idx="5">
                  <c:v>5.4107142967084636</c:v>
                </c:pt>
                <c:pt idx="6">
                  <c:v>5.0751128839132136</c:v>
                </c:pt>
                <c:pt idx="7">
                  <c:v>5.5919596644236362</c:v>
                </c:pt>
                <c:pt idx="8">
                  <c:v>5.3397256317371697</c:v>
                </c:pt>
                <c:pt idx="9">
                  <c:v>5.9727055022414213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EA38-3340-8C01-20CD34D353FF}"/>
            </c:ext>
          </c:extLst>
        </c:ser>
        <c:ser>
          <c:idx val="1"/>
          <c:order val="2"/>
          <c:tx>
            <c:strRef>
              <c:f>'feces pos ttmnt - PA'!$A$153</c:f>
              <c:strCache>
                <c:ptCount val="1"/>
                <c:pt idx="0">
                  <c:v>5+2 Vanco BL048 LB male mouse 2 10^5.6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'feces pos ttmnt - PA'!$Y$2:$Y$11</c:f>
              <c:numCache>
                <c:formatCode>General</c:formatCode>
                <c:ptCount val="10"/>
                <c:pt idx="0">
                  <c:v>0.9</c:v>
                </c:pt>
                <c:pt idx="1">
                  <c:v>1.9</c:v>
                </c:pt>
                <c:pt idx="2">
                  <c:v>2.9</c:v>
                </c:pt>
                <c:pt idx="3">
                  <c:v>3.9</c:v>
                </c:pt>
                <c:pt idx="4">
                  <c:v>4.9000000000000004</c:v>
                </c:pt>
                <c:pt idx="5">
                  <c:v>5.9</c:v>
                </c:pt>
                <c:pt idx="6">
                  <c:v>6.9</c:v>
                </c:pt>
                <c:pt idx="7">
                  <c:v>9.9</c:v>
                </c:pt>
                <c:pt idx="8">
                  <c:v>11.9</c:v>
                </c:pt>
                <c:pt idx="9">
                  <c:v>13.9</c:v>
                </c:pt>
              </c:numCache>
            </c:numRef>
          </c:xVal>
          <c:yVal>
            <c:numRef>
              <c:f>'feces pos ttmnt - PA'!$G$154:$G$163</c:f>
              <c:numCache>
                <c:formatCode>0.000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6.1258737089433719</c:v>
                </c:pt>
                <c:pt idx="3">
                  <c:v>8.204680724479342</c:v>
                </c:pt>
                <c:pt idx="4">
                  <c:v>8.0915149811213549</c:v>
                </c:pt>
                <c:pt idx="5">
                  <c:v>7.8927900303521357</c:v>
                </c:pt>
                <c:pt idx="6">
                  <c:v>7.7958800173440741</c:v>
                </c:pt>
                <c:pt idx="7">
                  <c:v>7.2373214362725644</c:v>
                </c:pt>
                <c:pt idx="8">
                  <c:v>5.7520603464613895</c:v>
                </c:pt>
                <c:pt idx="9">
                  <c:v>5.5278233278973996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EA38-3340-8C01-20CD34D353FF}"/>
            </c:ext>
          </c:extLst>
        </c:ser>
        <c:ser>
          <c:idx val="2"/>
          <c:order val="3"/>
          <c:tx>
            <c:strRef>
              <c:f>'feces pos ttmnt - PA'!$A$165</c:f>
              <c:strCache>
                <c:ptCount val="1"/>
                <c:pt idx="0">
                  <c:v>5+2 Vanco BL048 LB male mouse 3 10^5.6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'feces pos ttmnt - PA'!$Z$2:$Z$11</c:f>
              <c:numCache>
                <c:formatCode>General</c:formatCode>
                <c:ptCount val="1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10</c:v>
                </c:pt>
                <c:pt idx="8">
                  <c:v>12</c:v>
                </c:pt>
                <c:pt idx="9">
                  <c:v>14</c:v>
                </c:pt>
              </c:numCache>
            </c:numRef>
          </c:xVal>
          <c:yVal>
            <c:numRef>
              <c:f>'feces pos ttmnt - PA'!$G$166:$G$175</c:f>
              <c:numCache>
                <c:formatCode>0.000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4.4360106705664224</c:v>
                </c:pt>
                <c:pt idx="5">
                  <c:v>6.4264285464834723</c:v>
                </c:pt>
                <c:pt idx="6">
                  <c:v>7.3407971225354673</c:v>
                </c:pt>
                <c:pt idx="7">
                  <c:v>5.2025016356284244</c:v>
                </c:pt>
                <c:pt idx="8">
                  <c:v>6.0821482566100116</c:v>
                </c:pt>
                <c:pt idx="9">
                  <c:v>5.9516136937957711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EA38-3340-8C01-20CD34D353FF}"/>
            </c:ext>
          </c:extLst>
        </c:ser>
        <c:ser>
          <c:idx val="3"/>
          <c:order val="4"/>
          <c:tx>
            <c:strRef>
              <c:f>'feces pos ttmnt - PA'!$A$177</c:f>
              <c:strCache>
                <c:ptCount val="1"/>
                <c:pt idx="0">
                  <c:v>5+2 Vanco BL048 LB male mouse 4 10^5.6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'feces pos ttmnt - PA'!$AA$2:$AA$11</c:f>
              <c:numCache>
                <c:formatCode>General</c:formatCode>
                <c:ptCount val="10"/>
                <c:pt idx="0">
                  <c:v>1.1000000000000001</c:v>
                </c:pt>
                <c:pt idx="1">
                  <c:v>2.1</c:v>
                </c:pt>
                <c:pt idx="2">
                  <c:v>3.1</c:v>
                </c:pt>
                <c:pt idx="3">
                  <c:v>4.0999999999999996</c:v>
                </c:pt>
                <c:pt idx="4">
                  <c:v>5.0999999999999996</c:v>
                </c:pt>
                <c:pt idx="5">
                  <c:v>6.1</c:v>
                </c:pt>
                <c:pt idx="6">
                  <c:v>7.1</c:v>
                </c:pt>
                <c:pt idx="7">
                  <c:v>10.1</c:v>
                </c:pt>
                <c:pt idx="8">
                  <c:v>12.1</c:v>
                </c:pt>
                <c:pt idx="9">
                  <c:v>14.1</c:v>
                </c:pt>
              </c:numCache>
            </c:numRef>
          </c:xVal>
          <c:yVal>
            <c:numRef>
              <c:f>'feces pos ttmnt - PA'!$G$178:$G$187</c:f>
              <c:numCache>
                <c:formatCode>0.000</c:formatCode>
                <c:ptCount val="10"/>
                <c:pt idx="0">
                  <c:v>3.7607005208731068</c:v>
                </c:pt>
                <c:pt idx="1">
                  <c:v>5.0184834056940133</c:v>
                </c:pt>
                <c:pt idx="2">
                  <c:v>7.4218006330626283</c:v>
                </c:pt>
                <c:pt idx="3">
                  <c:v>7.6486648860246218</c:v>
                </c:pt>
                <c:pt idx="4">
                  <c:v>7.6078378301869227</c:v>
                </c:pt>
                <c:pt idx="5">
                  <c:v>7.4280516834205734</c:v>
                </c:pt>
                <c:pt idx="6">
                  <c:v>7.1151348331142552</c:v>
                </c:pt>
                <c:pt idx="7">
                  <c:v>7.1877174270292574</c:v>
                </c:pt>
                <c:pt idx="8">
                  <c:v>6.4175810191791163</c:v>
                </c:pt>
                <c:pt idx="9">
                  <c:v>5.800334358770324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EA38-3340-8C01-20CD34D353FF}"/>
            </c:ext>
          </c:extLst>
        </c:ser>
        <c:ser>
          <c:idx val="4"/>
          <c:order val="5"/>
          <c:tx>
            <c:strRef>
              <c:f>'feces pos ttmnt - PA'!$A$189</c:f>
              <c:strCache>
                <c:ptCount val="1"/>
                <c:pt idx="0">
                  <c:v>5+2 Vanco BL048 LB male mouse 5 10^5.6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'feces pos ttmnt - PA'!$AB$2:$AB$11</c:f>
              <c:numCache>
                <c:formatCode>General</c:formatCode>
                <c:ptCount val="10"/>
                <c:pt idx="0">
                  <c:v>1.2</c:v>
                </c:pt>
                <c:pt idx="1">
                  <c:v>2.2000000000000002</c:v>
                </c:pt>
                <c:pt idx="2">
                  <c:v>3.2</c:v>
                </c:pt>
                <c:pt idx="3">
                  <c:v>4.2</c:v>
                </c:pt>
                <c:pt idx="4">
                  <c:v>5.2</c:v>
                </c:pt>
                <c:pt idx="5">
                  <c:v>6.2</c:v>
                </c:pt>
                <c:pt idx="6">
                  <c:v>7.2</c:v>
                </c:pt>
                <c:pt idx="7">
                  <c:v>10.199999999999999</c:v>
                </c:pt>
                <c:pt idx="8">
                  <c:v>12.2</c:v>
                </c:pt>
                <c:pt idx="9">
                  <c:v>14.2</c:v>
                </c:pt>
              </c:numCache>
            </c:numRef>
          </c:xVal>
          <c:yVal>
            <c:numRef>
              <c:f>'feces pos ttmnt - PA'!$G$190:$G$199</c:f>
              <c:numCache>
                <c:formatCode>0.000</c:formatCode>
                <c:ptCount val="10"/>
                <c:pt idx="0">
                  <c:v>3.2941362877160794</c:v>
                </c:pt>
                <c:pt idx="1">
                  <c:v>4.423494113144427</c:v>
                </c:pt>
                <c:pt idx="2">
                  <c:v>6.2737208985447177</c:v>
                </c:pt>
                <c:pt idx="3">
                  <c:v>7.360798200667471</c:v>
                </c:pt>
                <c:pt idx="4">
                  <c:v>7.1640213392884533</c:v>
                </c:pt>
                <c:pt idx="5">
                  <c:v>7.7464812102149985</c:v>
                </c:pt>
                <c:pt idx="6">
                  <c:v>7.3273589343863303</c:v>
                </c:pt>
                <c:pt idx="7">
                  <c:v>7.3115270500405396</c:v>
                </c:pt>
                <c:pt idx="8">
                  <c:v>5.7226773541536193</c:v>
                </c:pt>
                <c:pt idx="9">
                  <c:v>5.5695616452725654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EA38-3340-8C01-20CD34D35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4808127"/>
        <c:axId val="943838671"/>
      </c:scatterChart>
      <c:valAx>
        <c:axId val="904808127"/>
        <c:scaling>
          <c:orientation val="minMax"/>
          <c:max val="15"/>
          <c:min val="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chemeClr val="tx1"/>
                    </a:solidFill>
                  </a:rPr>
                  <a:t>Days post</a:t>
                </a:r>
                <a:r>
                  <a:rPr lang="en-US" sz="1600" baseline="0">
                    <a:solidFill>
                      <a:schemeClr val="tx1"/>
                    </a:solidFill>
                  </a:rPr>
                  <a:t> treatment</a:t>
                </a:r>
                <a:endParaRPr lang="en-US" sz="1600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0.40896302403551704"/>
              <c:y val="0.9032762468170398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3838671"/>
        <c:crosses val="autoZero"/>
        <c:crossBetween val="midCat"/>
        <c:majorUnit val="1"/>
      </c:valAx>
      <c:valAx>
        <c:axId val="943838671"/>
        <c:scaling>
          <c:orientation val="minMax"/>
          <c:max val="13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</a:rPr>
                  <a:t>CFU/g of feces (log 10)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4808127"/>
        <c:crossesAt val="0.5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11586</xdr:colOff>
      <xdr:row>0</xdr:row>
      <xdr:rowOff>1</xdr:rowOff>
    </xdr:from>
    <xdr:to>
      <xdr:col>15</xdr:col>
      <xdr:colOff>656896</xdr:colOff>
      <xdr:row>11</xdr:row>
      <xdr:rowOff>120432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9B189BF-F27C-F64B-938B-3178A36E238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766380</xdr:colOff>
      <xdr:row>11</xdr:row>
      <xdr:rowOff>131379</xdr:rowOff>
    </xdr:from>
    <xdr:to>
      <xdr:col>15</xdr:col>
      <xdr:colOff>590569</xdr:colOff>
      <xdr:row>23</xdr:row>
      <xdr:rowOff>65690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A7204B60-E0C1-6D45-82EF-4E27AD142A3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0</xdr:colOff>
      <xdr:row>25</xdr:row>
      <xdr:rowOff>0</xdr:rowOff>
    </xdr:from>
    <xdr:to>
      <xdr:col>15</xdr:col>
      <xdr:colOff>645310</xdr:colOff>
      <xdr:row>36</xdr:row>
      <xdr:rowOff>142328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A4517372-193D-D643-90F6-D2F8DB48AD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0</xdr:colOff>
      <xdr:row>38</xdr:row>
      <xdr:rowOff>0</xdr:rowOff>
    </xdr:from>
    <xdr:to>
      <xdr:col>15</xdr:col>
      <xdr:colOff>645310</xdr:colOff>
      <xdr:row>49</xdr:row>
      <xdr:rowOff>580259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3EFE358A-1D94-B04F-8437-B66BDCB870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ine/Library/Mobile%20Documents/com~apple~CloudDocs/Documents/DGP/Hauser%20lab/Results/2019/8.8.19%20-%20colonization%20assay%20PAS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ces over a week"/>
      <sheetName val="Day 7 - all organs "/>
    </sheetNames>
    <sheetDataSet>
      <sheetData sheetId="0">
        <row r="1">
          <cell r="K1" t="str">
            <v>Detection limit</v>
          </cell>
        </row>
        <row r="2">
          <cell r="K2">
            <v>2.2300321986705574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7DC7F-669D-5C4E-BF84-4ABE314598C7}">
  <dimension ref="A1:P18"/>
  <sheetViews>
    <sheetView tabSelected="1" workbookViewId="0">
      <selection activeCell="H17" sqref="H17"/>
    </sheetView>
  </sheetViews>
  <sheetFormatPr baseColWidth="10" defaultRowHeight="16" x14ac:dyDescent="0.2"/>
  <cols>
    <col min="2" max="2" width="15.6640625" customWidth="1"/>
    <col min="3" max="3" width="17.33203125" customWidth="1"/>
    <col min="9" max="9" width="14.83203125" customWidth="1"/>
  </cols>
  <sheetData>
    <row r="1" spans="1:16" ht="44" x14ac:dyDescent="0.2">
      <c r="A1" s="7" t="s">
        <v>5</v>
      </c>
      <c r="B1" s="7" t="s">
        <v>6</v>
      </c>
      <c r="C1" s="7" t="s">
        <v>7</v>
      </c>
      <c r="D1" s="7" t="s">
        <v>8</v>
      </c>
      <c r="E1" s="7" t="s">
        <v>9</v>
      </c>
      <c r="I1" s="1"/>
      <c r="J1" s="14" t="s">
        <v>10</v>
      </c>
      <c r="K1" s="14" t="s">
        <v>11</v>
      </c>
      <c r="L1" s="14" t="s">
        <v>15</v>
      </c>
      <c r="M1" s="14" t="s">
        <v>12</v>
      </c>
      <c r="N1" s="14" t="s">
        <v>13</v>
      </c>
      <c r="P1" s="14" t="s">
        <v>20</v>
      </c>
    </row>
    <row r="2" spans="1:16" x14ac:dyDescent="0.2">
      <c r="A2" s="8"/>
      <c r="B2" s="9"/>
      <c r="C2" s="9"/>
      <c r="D2" s="10"/>
      <c r="E2" s="11"/>
      <c r="I2" s="61" t="s">
        <v>21</v>
      </c>
      <c r="J2" s="43">
        <v>8</v>
      </c>
      <c r="K2" s="44">
        <v>10000</v>
      </c>
      <c r="L2" s="44">
        <f t="shared" ref="L2:L7" si="0">J2*5*K2</f>
        <v>400000</v>
      </c>
      <c r="M2" s="63">
        <f>AVERAGE(L2:L3)</f>
        <v>400000</v>
      </c>
      <c r="N2" s="65">
        <f>LOG10(M2)</f>
        <v>5.6020599913279625</v>
      </c>
      <c r="P2" s="67">
        <v>0.29699999999999999</v>
      </c>
    </row>
    <row r="3" spans="1:16" x14ac:dyDescent="0.2">
      <c r="A3" s="12"/>
      <c r="B3" s="9"/>
      <c r="C3" s="9"/>
      <c r="D3" s="13"/>
      <c r="E3" s="19"/>
      <c r="I3" s="62"/>
      <c r="J3" s="45">
        <v>8</v>
      </c>
      <c r="K3" s="46">
        <v>10000</v>
      </c>
      <c r="L3" s="46">
        <f t="shared" si="0"/>
        <v>400000</v>
      </c>
      <c r="M3" s="64"/>
      <c r="N3" s="66"/>
      <c r="P3" s="67"/>
    </row>
    <row r="4" spans="1:16" x14ac:dyDescent="0.2">
      <c r="A4" s="8"/>
      <c r="B4" s="9"/>
      <c r="C4" s="9"/>
      <c r="D4" s="10"/>
      <c r="E4" s="11"/>
      <c r="I4" s="61" t="s">
        <v>22</v>
      </c>
      <c r="J4" s="43">
        <v>8</v>
      </c>
      <c r="K4" s="44">
        <v>10000</v>
      </c>
      <c r="L4" s="44">
        <f t="shared" si="0"/>
        <v>400000</v>
      </c>
      <c r="M4" s="63">
        <f>AVERAGE(L4:L5)</f>
        <v>375000</v>
      </c>
      <c r="N4" s="65">
        <f>LOG10(M4)</f>
        <v>5.5740312677277188</v>
      </c>
      <c r="P4" s="68">
        <v>0.214</v>
      </c>
    </row>
    <row r="5" spans="1:16" x14ac:dyDescent="0.2">
      <c r="A5" s="12"/>
      <c r="B5" s="9"/>
      <c r="C5" s="9"/>
      <c r="D5" s="13"/>
      <c r="E5" s="19"/>
      <c r="I5" s="62"/>
      <c r="J5" s="45">
        <v>7</v>
      </c>
      <c r="K5" s="46">
        <v>10000</v>
      </c>
      <c r="L5" s="46">
        <f t="shared" si="0"/>
        <v>350000</v>
      </c>
      <c r="M5" s="64"/>
      <c r="N5" s="66"/>
      <c r="P5" s="68"/>
    </row>
    <row r="6" spans="1:16" x14ac:dyDescent="0.2">
      <c r="I6" s="61" t="s">
        <v>23</v>
      </c>
      <c r="J6" s="43">
        <v>13</v>
      </c>
      <c r="K6" s="47">
        <v>10000</v>
      </c>
      <c r="L6" s="47">
        <f t="shared" si="0"/>
        <v>650000</v>
      </c>
      <c r="M6" s="63">
        <f>AVERAGE(L6:L7)</f>
        <v>725000</v>
      </c>
      <c r="N6" s="65">
        <f>LOG10(M6)</f>
        <v>5.860338006570994</v>
      </c>
      <c r="O6" s="50"/>
      <c r="P6" s="60">
        <v>0.27</v>
      </c>
    </row>
    <row r="7" spans="1:16" x14ac:dyDescent="0.2">
      <c r="I7" s="62"/>
      <c r="J7" s="45">
        <v>16</v>
      </c>
      <c r="K7" s="48">
        <v>10000</v>
      </c>
      <c r="L7" s="48">
        <f t="shared" si="0"/>
        <v>800000</v>
      </c>
      <c r="M7" s="64"/>
      <c r="N7" s="66"/>
      <c r="O7" s="50"/>
      <c r="P7" s="60"/>
    </row>
    <row r="8" spans="1:16" x14ac:dyDescent="0.2">
      <c r="I8" s="52"/>
      <c r="J8" s="51"/>
      <c r="K8" s="53"/>
      <c r="L8" s="53"/>
      <c r="M8" s="54"/>
      <c r="N8" s="56"/>
      <c r="O8" s="51"/>
      <c r="P8" s="55"/>
    </row>
    <row r="9" spans="1:16" x14ac:dyDescent="0.2">
      <c r="H9" s="39"/>
      <c r="I9" s="52"/>
      <c r="J9" s="51"/>
      <c r="K9" s="53"/>
      <c r="L9" s="53"/>
      <c r="M9" s="54"/>
      <c r="N9" s="56"/>
      <c r="O9" s="51"/>
      <c r="P9" s="55"/>
    </row>
    <row r="10" spans="1:16" x14ac:dyDescent="0.2">
      <c r="H10" s="39"/>
      <c r="I10" s="52"/>
      <c r="J10" s="51"/>
      <c r="K10" s="53"/>
      <c r="L10" s="53"/>
      <c r="M10" s="54"/>
      <c r="N10" s="56"/>
      <c r="O10" s="51"/>
      <c r="P10" s="55"/>
    </row>
    <row r="11" spans="1:16" x14ac:dyDescent="0.2">
      <c r="H11" s="39"/>
      <c r="I11" s="52"/>
      <c r="J11" s="51"/>
      <c r="K11" s="53"/>
      <c r="L11" s="53"/>
      <c r="M11" s="54"/>
      <c r="N11" s="56"/>
      <c r="O11" s="51"/>
      <c r="P11" s="55"/>
    </row>
    <row r="12" spans="1:16" x14ac:dyDescent="0.2">
      <c r="H12" s="39"/>
      <c r="I12" s="52"/>
      <c r="J12" s="51"/>
      <c r="K12" s="53"/>
      <c r="L12" s="53"/>
      <c r="M12" s="54"/>
      <c r="N12" s="56"/>
      <c r="O12" s="51"/>
      <c r="P12" s="55"/>
    </row>
    <row r="13" spans="1:16" x14ac:dyDescent="0.2">
      <c r="H13" s="39"/>
      <c r="I13" s="52"/>
      <c r="J13" s="51"/>
      <c r="K13" s="53"/>
      <c r="L13" s="53"/>
      <c r="M13" s="54"/>
      <c r="N13" s="56"/>
      <c r="O13" s="51"/>
      <c r="P13" s="55"/>
    </row>
    <row r="14" spans="1:16" x14ac:dyDescent="0.2">
      <c r="H14" s="39"/>
      <c r="I14" s="52"/>
      <c r="J14" s="51"/>
      <c r="K14" s="53"/>
      <c r="L14" s="53"/>
      <c r="M14" s="54"/>
      <c r="N14" s="55"/>
      <c r="O14" s="51"/>
      <c r="P14" s="51"/>
    </row>
    <row r="15" spans="1:16" x14ac:dyDescent="0.2">
      <c r="H15" s="39"/>
      <c r="I15" s="40"/>
      <c r="J15" s="39"/>
      <c r="K15" s="41"/>
      <c r="L15" s="41"/>
      <c r="M15" s="42"/>
      <c r="N15" s="38"/>
      <c r="O15" s="39"/>
      <c r="P15" s="39"/>
    </row>
    <row r="16" spans="1:16" x14ac:dyDescent="0.2">
      <c r="H16" s="39"/>
      <c r="I16" s="39"/>
      <c r="J16" s="39"/>
      <c r="K16" s="39"/>
      <c r="L16" s="39"/>
      <c r="M16" s="39"/>
      <c r="N16" s="39"/>
      <c r="O16" s="39"/>
      <c r="P16" s="39"/>
    </row>
    <row r="17" spans="8:16" x14ac:dyDescent="0.2">
      <c r="H17" s="39"/>
      <c r="I17" s="39"/>
      <c r="J17" s="39"/>
      <c r="K17" s="39"/>
      <c r="L17" s="39"/>
      <c r="M17" s="39"/>
      <c r="N17" s="39"/>
      <c r="O17" s="39"/>
      <c r="P17" s="39"/>
    </row>
    <row r="18" spans="8:16" x14ac:dyDescent="0.2">
      <c r="H18" s="39"/>
      <c r="I18" s="39"/>
      <c r="J18" s="39"/>
      <c r="K18" s="39"/>
      <c r="L18" s="39"/>
      <c r="M18" s="39"/>
      <c r="N18" s="39"/>
      <c r="O18" s="39"/>
      <c r="P18" s="39"/>
    </row>
  </sheetData>
  <mergeCells count="12">
    <mergeCell ref="P2:P3"/>
    <mergeCell ref="P4:P5"/>
    <mergeCell ref="I2:I3"/>
    <mergeCell ref="M2:M3"/>
    <mergeCell ref="N2:N3"/>
    <mergeCell ref="P6:P7"/>
    <mergeCell ref="I6:I7"/>
    <mergeCell ref="M6:M7"/>
    <mergeCell ref="N6:N7"/>
    <mergeCell ref="I4:I5"/>
    <mergeCell ref="M4:M5"/>
    <mergeCell ref="N4:N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F86D40-825C-8140-88B8-F7EAC264E022}">
  <dimension ref="A1:AB333"/>
  <sheetViews>
    <sheetView topLeftCell="A171" zoomScale="92" zoomScaleNormal="100" workbookViewId="0">
      <selection activeCell="E200" sqref="E200"/>
    </sheetView>
  </sheetViews>
  <sheetFormatPr baseColWidth="10" defaultRowHeight="16" x14ac:dyDescent="0.2"/>
  <cols>
    <col min="1" max="1" width="16.83203125" customWidth="1"/>
  </cols>
  <sheetData>
    <row r="1" spans="1:28" ht="51" x14ac:dyDescent="0.2">
      <c r="A1" s="2" t="s">
        <v>24</v>
      </c>
      <c r="B1" s="69" t="s">
        <v>0</v>
      </c>
      <c r="C1" s="69"/>
      <c r="D1" s="25" t="s">
        <v>1</v>
      </c>
      <c r="E1" s="25" t="s">
        <v>4</v>
      </c>
      <c r="F1" s="25" t="s">
        <v>2</v>
      </c>
      <c r="G1" s="20" t="s">
        <v>3</v>
      </c>
      <c r="H1" s="20"/>
    </row>
    <row r="2" spans="1:28" x14ac:dyDescent="0.2">
      <c r="A2" s="15" t="s">
        <v>16</v>
      </c>
      <c r="B2">
        <v>29</v>
      </c>
      <c r="C2">
        <v>24</v>
      </c>
      <c r="D2">
        <f>AVERAGE(B2:C2)</f>
        <v>26.5</v>
      </c>
      <c r="E2" s="4">
        <v>1000</v>
      </c>
      <c r="F2" s="4">
        <f>1812.1-1788.7</f>
        <v>23.399999999999864</v>
      </c>
      <c r="G2" s="21">
        <f>LOG10(D2*100*E2/F2*1000)</f>
        <v>8.0540300165266672</v>
      </c>
      <c r="H2" s="22"/>
      <c r="R2">
        <v>2.8</v>
      </c>
      <c r="S2">
        <f>R2+0.1</f>
        <v>2.9</v>
      </c>
      <c r="T2">
        <f t="shared" ref="T2:V2" si="0">S2+0.1</f>
        <v>3</v>
      </c>
      <c r="U2">
        <f t="shared" si="0"/>
        <v>3.1</v>
      </c>
      <c r="V2">
        <f t="shared" si="0"/>
        <v>3.2</v>
      </c>
      <c r="X2">
        <f>Z2-0.2</f>
        <v>0.8</v>
      </c>
      <c r="Y2">
        <f>Z2-0.1</f>
        <v>0.9</v>
      </c>
      <c r="Z2">
        <v>1</v>
      </c>
      <c r="AA2">
        <f>Z2+0.1</f>
        <v>1.1000000000000001</v>
      </c>
      <c r="AB2">
        <f>Z2+0.2</f>
        <v>1.2</v>
      </c>
    </row>
    <row r="3" spans="1:28" x14ac:dyDescent="0.2">
      <c r="A3" s="15" t="s">
        <v>17</v>
      </c>
      <c r="B3" s="16">
        <v>66</v>
      </c>
      <c r="C3" s="16">
        <v>57</v>
      </c>
      <c r="D3" s="16">
        <f t="shared" ref="D3:D6" si="1">AVERAGE(B3:C3)</f>
        <v>61.5</v>
      </c>
      <c r="E3" s="15">
        <v>1000</v>
      </c>
      <c r="F3" s="15">
        <f>1770.7-1720.4</f>
        <v>50.299999999999955</v>
      </c>
      <c r="G3" s="21">
        <f>LOG10(D3*100*E3/F3*1000)</f>
        <v>8.0873071307194895</v>
      </c>
      <c r="H3" s="22"/>
      <c r="R3">
        <v>4.8</v>
      </c>
      <c r="S3">
        <f t="shared" ref="S3:V6" si="2">R3+0.1</f>
        <v>4.8999999999999995</v>
      </c>
      <c r="T3">
        <f t="shared" si="2"/>
        <v>4.9999999999999991</v>
      </c>
      <c r="U3">
        <f t="shared" si="2"/>
        <v>5.0999999999999988</v>
      </c>
      <c r="V3">
        <f t="shared" si="2"/>
        <v>5.1999999999999984</v>
      </c>
      <c r="X3">
        <f t="shared" ref="X3:X11" si="3">Z3-0.2</f>
        <v>1.8</v>
      </c>
      <c r="Y3">
        <f t="shared" ref="Y3:Y11" si="4">Z3-0.1</f>
        <v>1.9</v>
      </c>
      <c r="Z3">
        <f>Z2+1</f>
        <v>2</v>
      </c>
      <c r="AA3">
        <f t="shared" ref="AA3:AA11" si="5">Z3+0.1</f>
        <v>2.1</v>
      </c>
      <c r="AB3">
        <f t="shared" ref="AB3:AB11" si="6">Z3+0.2</f>
        <v>2.2000000000000002</v>
      </c>
    </row>
    <row r="4" spans="1:28" x14ac:dyDescent="0.2">
      <c r="A4" s="15" t="s">
        <v>14</v>
      </c>
      <c r="B4" s="16">
        <v>40</v>
      </c>
      <c r="C4" s="16">
        <v>34</v>
      </c>
      <c r="D4" s="16">
        <f t="shared" si="1"/>
        <v>37</v>
      </c>
      <c r="E4" s="15">
        <v>1000</v>
      </c>
      <c r="F4" s="15">
        <f>1919.7-1775.8</f>
        <v>143.90000000000009</v>
      </c>
      <c r="G4" s="21">
        <f t="shared" ref="G4:G6" si="7">LOG10(D4*100*E4/F4*1000)</f>
        <v>7.4101409301303898</v>
      </c>
      <c r="H4" s="22"/>
      <c r="R4">
        <v>6.8</v>
      </c>
      <c r="S4">
        <f t="shared" si="2"/>
        <v>6.8999999999999995</v>
      </c>
      <c r="T4">
        <f t="shared" si="2"/>
        <v>6.9999999999999991</v>
      </c>
      <c r="U4">
        <f t="shared" si="2"/>
        <v>7.0999999999999988</v>
      </c>
      <c r="V4">
        <f t="shared" si="2"/>
        <v>7.1999999999999984</v>
      </c>
      <c r="X4">
        <f t="shared" si="3"/>
        <v>2.8</v>
      </c>
      <c r="Y4">
        <f t="shared" si="4"/>
        <v>2.9</v>
      </c>
      <c r="Z4">
        <f t="shared" ref="Z4:Z7" si="8">Z3+1</f>
        <v>3</v>
      </c>
      <c r="AA4">
        <f t="shared" si="5"/>
        <v>3.1</v>
      </c>
      <c r="AB4">
        <f t="shared" si="6"/>
        <v>3.2</v>
      </c>
    </row>
    <row r="5" spans="1:28" x14ac:dyDescent="0.2">
      <c r="A5" s="15" t="s">
        <v>19</v>
      </c>
      <c r="B5" s="16">
        <v>23</v>
      </c>
      <c r="C5" s="16">
        <v>25</v>
      </c>
      <c r="D5" s="16">
        <f t="shared" si="1"/>
        <v>24</v>
      </c>
      <c r="E5" s="15">
        <v>10</v>
      </c>
      <c r="F5" s="15">
        <f>1922.6-1817.6</f>
        <v>105</v>
      </c>
      <c r="G5" s="21">
        <f t="shared" si="7"/>
        <v>5.3590219426416681</v>
      </c>
      <c r="H5" s="22"/>
      <c r="R5">
        <v>9.8000000000000007</v>
      </c>
      <c r="S5">
        <f t="shared" si="2"/>
        <v>9.9</v>
      </c>
      <c r="T5">
        <f t="shared" si="2"/>
        <v>10</v>
      </c>
      <c r="U5">
        <f t="shared" si="2"/>
        <v>10.1</v>
      </c>
      <c r="V5">
        <f t="shared" si="2"/>
        <v>10.199999999999999</v>
      </c>
      <c r="X5">
        <f t="shared" si="3"/>
        <v>3.8</v>
      </c>
      <c r="Y5">
        <f t="shared" si="4"/>
        <v>3.9</v>
      </c>
      <c r="Z5">
        <f t="shared" si="8"/>
        <v>4</v>
      </c>
      <c r="AA5">
        <f t="shared" si="5"/>
        <v>4.0999999999999996</v>
      </c>
      <c r="AB5">
        <f t="shared" si="6"/>
        <v>4.2</v>
      </c>
    </row>
    <row r="6" spans="1:28" ht="20" customHeight="1" x14ac:dyDescent="0.2">
      <c r="A6" s="26" t="s">
        <v>18</v>
      </c>
      <c r="B6" s="17">
        <v>33</v>
      </c>
      <c r="C6" s="17">
        <v>36</v>
      </c>
      <c r="D6" s="16">
        <f t="shared" si="1"/>
        <v>34.5</v>
      </c>
      <c r="E6" s="26">
        <v>10</v>
      </c>
      <c r="F6" s="26">
        <f>1806.2-1656</f>
        <v>150.20000000000005</v>
      </c>
      <c r="G6" s="21">
        <f t="shared" si="7"/>
        <v>5.3611491624051242</v>
      </c>
      <c r="H6" s="22"/>
      <c r="R6">
        <v>13.8</v>
      </c>
      <c r="S6">
        <f t="shared" si="2"/>
        <v>13.9</v>
      </c>
      <c r="T6">
        <f t="shared" si="2"/>
        <v>14</v>
      </c>
      <c r="U6">
        <f t="shared" si="2"/>
        <v>14.1</v>
      </c>
      <c r="V6">
        <f t="shared" si="2"/>
        <v>14.2</v>
      </c>
      <c r="X6">
        <f t="shared" si="3"/>
        <v>4.8</v>
      </c>
      <c r="Y6">
        <f t="shared" si="4"/>
        <v>4.9000000000000004</v>
      </c>
      <c r="Z6">
        <f t="shared" si="8"/>
        <v>5</v>
      </c>
      <c r="AA6">
        <f t="shared" si="5"/>
        <v>5.0999999999999996</v>
      </c>
      <c r="AB6">
        <f t="shared" si="6"/>
        <v>5.2</v>
      </c>
    </row>
    <row r="7" spans="1:28" x14ac:dyDescent="0.2">
      <c r="A7" s="15"/>
      <c r="B7" s="16"/>
      <c r="C7" s="16"/>
      <c r="D7" s="16"/>
      <c r="E7" s="15"/>
      <c r="F7" s="15"/>
      <c r="G7" s="21"/>
      <c r="H7" s="22"/>
      <c r="X7">
        <f t="shared" si="3"/>
        <v>5.8</v>
      </c>
      <c r="Y7">
        <f t="shared" si="4"/>
        <v>5.9</v>
      </c>
      <c r="Z7">
        <f t="shared" si="8"/>
        <v>6</v>
      </c>
      <c r="AA7">
        <f t="shared" si="5"/>
        <v>6.1</v>
      </c>
      <c r="AB7">
        <f t="shared" si="6"/>
        <v>6.2</v>
      </c>
    </row>
    <row r="8" spans="1:28" ht="51" x14ac:dyDescent="0.2">
      <c r="A8" s="2" t="s">
        <v>25</v>
      </c>
      <c r="B8" s="69" t="s">
        <v>0</v>
      </c>
      <c r="C8" s="69"/>
      <c r="D8" s="31" t="s">
        <v>1</v>
      </c>
      <c r="E8" s="31" t="s">
        <v>4</v>
      </c>
      <c r="F8" s="31" t="s">
        <v>2</v>
      </c>
      <c r="G8" s="20" t="s">
        <v>3</v>
      </c>
      <c r="H8" s="22"/>
      <c r="X8">
        <f t="shared" si="3"/>
        <v>6.8</v>
      </c>
      <c r="Y8">
        <f t="shared" si="4"/>
        <v>6.9</v>
      </c>
      <c r="Z8">
        <f>Z7+1</f>
        <v>7</v>
      </c>
      <c r="AA8">
        <f t="shared" si="5"/>
        <v>7.1</v>
      </c>
      <c r="AB8">
        <f t="shared" si="6"/>
        <v>7.2</v>
      </c>
    </row>
    <row r="9" spans="1:28" x14ac:dyDescent="0.2">
      <c r="A9" s="15" t="s">
        <v>16</v>
      </c>
      <c r="B9">
        <v>32</v>
      </c>
      <c r="C9">
        <v>48</v>
      </c>
      <c r="D9">
        <f>AVERAGE(B9:C9)</f>
        <v>40</v>
      </c>
      <c r="E9" s="4">
        <v>1000</v>
      </c>
      <c r="F9" s="4">
        <f>1680.9-1653</f>
        <v>27.900000000000091</v>
      </c>
      <c r="G9" s="21">
        <f>LOG10(D9*100*E9/F9*1000)</f>
        <v>8.1564557880543642</v>
      </c>
      <c r="H9" s="22"/>
      <c r="X9">
        <f t="shared" si="3"/>
        <v>9.8000000000000007</v>
      </c>
      <c r="Y9">
        <f t="shared" si="4"/>
        <v>9.9</v>
      </c>
      <c r="Z9">
        <v>10</v>
      </c>
      <c r="AA9">
        <f t="shared" si="5"/>
        <v>10.1</v>
      </c>
      <c r="AB9">
        <f t="shared" si="6"/>
        <v>10.199999999999999</v>
      </c>
    </row>
    <row r="10" spans="1:28" x14ac:dyDescent="0.2">
      <c r="A10" s="15" t="s">
        <v>17</v>
      </c>
      <c r="B10" s="16">
        <v>124</v>
      </c>
      <c r="C10" s="16">
        <v>123</v>
      </c>
      <c r="D10" s="16">
        <f t="shared" ref="D10:D13" si="9">AVERAGE(B10:C10)</f>
        <v>123.5</v>
      </c>
      <c r="E10" s="15">
        <v>1000</v>
      </c>
      <c r="F10" s="15">
        <f>1781.9-1758.2</f>
        <v>23.700000000000045</v>
      </c>
      <c r="G10" s="21">
        <f>LOG10(D10*100*E10/F10*1000)</f>
        <v>8.7169186115855801</v>
      </c>
      <c r="H10" s="22"/>
      <c r="X10">
        <f t="shared" si="3"/>
        <v>11.8</v>
      </c>
      <c r="Y10">
        <f t="shared" si="4"/>
        <v>11.9</v>
      </c>
      <c r="Z10">
        <v>12</v>
      </c>
      <c r="AA10">
        <f t="shared" si="5"/>
        <v>12.1</v>
      </c>
      <c r="AB10">
        <f t="shared" si="6"/>
        <v>12.2</v>
      </c>
    </row>
    <row r="11" spans="1:28" x14ac:dyDescent="0.2">
      <c r="A11" s="15" t="s">
        <v>14</v>
      </c>
      <c r="B11" s="16">
        <v>92</v>
      </c>
      <c r="C11" s="16">
        <v>83</v>
      </c>
      <c r="D11" s="16">
        <f t="shared" si="9"/>
        <v>87.5</v>
      </c>
      <c r="E11" s="15">
        <v>1000</v>
      </c>
      <c r="F11" s="15">
        <f>1875.7-1845.7</f>
        <v>30</v>
      </c>
      <c r="G11" s="21">
        <f t="shared" ref="G11:G13" si="10">LOG10(D11*100*E11/F11*1000)</f>
        <v>8.4648867983026506</v>
      </c>
      <c r="H11" s="22"/>
      <c r="X11">
        <f t="shared" si="3"/>
        <v>13.8</v>
      </c>
      <c r="Y11">
        <f t="shared" si="4"/>
        <v>13.9</v>
      </c>
      <c r="Z11">
        <v>14</v>
      </c>
      <c r="AA11">
        <f t="shared" si="5"/>
        <v>14.1</v>
      </c>
      <c r="AB11">
        <f t="shared" si="6"/>
        <v>14.2</v>
      </c>
    </row>
    <row r="12" spans="1:28" x14ac:dyDescent="0.2">
      <c r="A12" s="15" t="s">
        <v>19</v>
      </c>
      <c r="B12" s="16">
        <v>40</v>
      </c>
      <c r="C12" s="16">
        <v>32</v>
      </c>
      <c r="D12" s="16">
        <f t="shared" si="9"/>
        <v>36</v>
      </c>
      <c r="E12" s="15">
        <v>1000</v>
      </c>
      <c r="F12" s="15">
        <f>1835.3-1790.2</f>
        <v>45.099999999999909</v>
      </c>
      <c r="G12" s="21">
        <f t="shared" si="10"/>
        <v>7.9021259588893278</v>
      </c>
      <c r="H12" s="22"/>
    </row>
    <row r="13" spans="1:28" ht="17" x14ac:dyDescent="0.2">
      <c r="A13" s="26" t="s">
        <v>18</v>
      </c>
      <c r="B13" s="17">
        <v>110</v>
      </c>
      <c r="C13" s="17">
        <v>113</v>
      </c>
      <c r="D13" s="16">
        <f t="shared" si="9"/>
        <v>111.5</v>
      </c>
      <c r="E13" s="26">
        <v>10</v>
      </c>
      <c r="F13" s="26">
        <f>1749.6-1724.9</f>
        <v>24.699999999999818</v>
      </c>
      <c r="G13" s="21">
        <f t="shared" si="10"/>
        <v>6.6545779141245172</v>
      </c>
      <c r="H13" s="22"/>
    </row>
    <row r="14" spans="1:28" x14ac:dyDescent="0.2">
      <c r="A14" s="15"/>
      <c r="B14" s="16"/>
      <c r="C14" s="16"/>
      <c r="D14" s="16"/>
      <c r="E14" s="15"/>
      <c r="F14" s="4"/>
      <c r="G14" s="21"/>
      <c r="H14" s="22"/>
    </row>
    <row r="15" spans="1:28" ht="51" x14ac:dyDescent="0.2">
      <c r="A15" s="2" t="s">
        <v>26</v>
      </c>
      <c r="B15" s="69" t="s">
        <v>0</v>
      </c>
      <c r="C15" s="69"/>
      <c r="D15" s="31" t="s">
        <v>1</v>
      </c>
      <c r="E15" s="31" t="s">
        <v>4</v>
      </c>
      <c r="F15" s="31" t="s">
        <v>2</v>
      </c>
      <c r="G15" s="20" t="s">
        <v>3</v>
      </c>
      <c r="H15" s="22"/>
    </row>
    <row r="16" spans="1:28" x14ac:dyDescent="0.2">
      <c r="A16" s="15" t="s">
        <v>16</v>
      </c>
      <c r="B16">
        <v>54</v>
      </c>
      <c r="C16">
        <v>8</v>
      </c>
      <c r="D16">
        <f>AVERAGE(B16:C16)</f>
        <v>31</v>
      </c>
      <c r="E16" s="4">
        <v>1000</v>
      </c>
      <c r="F16" s="4">
        <f>1770.7-1754.8</f>
        <v>15.900000000000091</v>
      </c>
      <c r="G16" s="21">
        <f>LOG10(D16*100*E16/F16*1000)</f>
        <v>8.2899645695138187</v>
      </c>
      <c r="H16" s="22"/>
    </row>
    <row r="17" spans="1:8" x14ac:dyDescent="0.2">
      <c r="A17" s="15" t="s">
        <v>17</v>
      </c>
      <c r="B17" s="16">
        <v>8</v>
      </c>
      <c r="C17" s="16">
        <v>3</v>
      </c>
      <c r="D17" s="16">
        <f t="shared" ref="D17:D20" si="11">AVERAGE(B17:C17)</f>
        <v>5.5</v>
      </c>
      <c r="E17" s="15">
        <v>1000</v>
      </c>
      <c r="F17" s="15">
        <f>1742.7-1720</f>
        <v>22.700000000000045</v>
      </c>
      <c r="G17" s="21">
        <f>LOG10(D17*100*E17/F17*1000)</f>
        <v>7.3843368323011207</v>
      </c>
      <c r="H17" s="22"/>
    </row>
    <row r="18" spans="1:8" x14ac:dyDescent="0.2">
      <c r="A18" s="15" t="s">
        <v>14</v>
      </c>
      <c r="B18" s="16">
        <v>11</v>
      </c>
      <c r="C18" s="16">
        <v>16</v>
      </c>
      <c r="D18" s="16">
        <f t="shared" si="11"/>
        <v>13.5</v>
      </c>
      <c r="E18" s="15">
        <v>1000</v>
      </c>
      <c r="F18" s="15">
        <f>1881.7-1828.5</f>
        <v>53.200000000000045</v>
      </c>
      <c r="G18" s="21">
        <f t="shared" ref="G18:G20" si="12">LOG10(D18*100*E18/F18*1000)</f>
        <v>7.4044221361999574</v>
      </c>
      <c r="H18" s="22"/>
    </row>
    <row r="19" spans="1:8" x14ac:dyDescent="0.2">
      <c r="A19" s="15" t="s">
        <v>19</v>
      </c>
      <c r="B19" s="16">
        <v>126</v>
      </c>
      <c r="C19" s="16">
        <v>108</v>
      </c>
      <c r="D19" s="16">
        <f t="shared" si="11"/>
        <v>117</v>
      </c>
      <c r="E19" s="15">
        <v>100</v>
      </c>
      <c r="F19" s="15">
        <f>1846.5-1822.5</f>
        <v>24</v>
      </c>
      <c r="G19" s="21">
        <f t="shared" si="12"/>
        <v>7.6879746200345558</v>
      </c>
      <c r="H19" s="22"/>
    </row>
    <row r="20" spans="1:8" ht="17" x14ac:dyDescent="0.2">
      <c r="A20" s="26" t="s">
        <v>18</v>
      </c>
      <c r="B20" s="17">
        <v>11</v>
      </c>
      <c r="C20" s="17">
        <v>21</v>
      </c>
      <c r="D20" s="16">
        <f t="shared" si="11"/>
        <v>16</v>
      </c>
      <c r="E20" s="26">
        <v>10</v>
      </c>
      <c r="F20" s="26">
        <f>1871-1691.8</f>
        <v>179.20000000000005</v>
      </c>
      <c r="G20" s="21">
        <f t="shared" si="12"/>
        <v>4.9507819773298181</v>
      </c>
      <c r="H20" s="22"/>
    </row>
    <row r="21" spans="1:8" x14ac:dyDescent="0.2">
      <c r="A21" s="15"/>
      <c r="B21" s="16"/>
      <c r="C21" s="16"/>
      <c r="D21" s="16"/>
      <c r="E21" s="15"/>
      <c r="F21" s="15"/>
      <c r="G21" s="21"/>
      <c r="H21" s="22"/>
    </row>
    <row r="22" spans="1:8" ht="51" x14ac:dyDescent="0.2">
      <c r="A22" s="2" t="s">
        <v>27</v>
      </c>
      <c r="B22" s="69" t="s">
        <v>0</v>
      </c>
      <c r="C22" s="69"/>
      <c r="D22" s="31" t="s">
        <v>1</v>
      </c>
      <c r="E22" s="31" t="s">
        <v>4</v>
      </c>
      <c r="F22" s="31" t="s">
        <v>2</v>
      </c>
      <c r="G22" s="20" t="s">
        <v>3</v>
      </c>
      <c r="H22" s="22"/>
    </row>
    <row r="23" spans="1:8" x14ac:dyDescent="0.2">
      <c r="A23" s="15" t="s">
        <v>16</v>
      </c>
      <c r="B23">
        <v>43</v>
      </c>
      <c r="C23">
        <v>55</v>
      </c>
      <c r="D23">
        <f>AVERAGE(B23:C23)</f>
        <v>49</v>
      </c>
      <c r="E23" s="4">
        <v>1000</v>
      </c>
      <c r="F23" s="4">
        <f>1718-1701.3</f>
        <v>16.700000000000045</v>
      </c>
      <c r="G23" s="21">
        <f>LOG10(D23*100*E23/F23*1000)</f>
        <v>8.4674796088809288</v>
      </c>
      <c r="H23" s="22"/>
    </row>
    <row r="24" spans="1:8" ht="16" customHeight="1" x14ac:dyDescent="0.2">
      <c r="A24" s="15" t="s">
        <v>17</v>
      </c>
      <c r="B24" s="16">
        <v>86</v>
      </c>
      <c r="C24" s="16">
        <v>94</v>
      </c>
      <c r="D24" s="16">
        <f t="shared" ref="D24:D27" si="13">AVERAGE(B24:C24)</f>
        <v>90</v>
      </c>
      <c r="E24" s="15">
        <v>1000</v>
      </c>
      <c r="F24" s="15">
        <f>1750.7-1731.2</f>
        <v>19.5</v>
      </c>
      <c r="G24" s="21">
        <f>LOG10(D24*100*E24/F24*1000)</f>
        <v>8.6642078980768069</v>
      </c>
      <c r="H24" s="22"/>
    </row>
    <row r="25" spans="1:8" ht="16" customHeight="1" x14ac:dyDescent="0.2">
      <c r="A25" s="15" t="s">
        <v>14</v>
      </c>
      <c r="B25" s="16">
        <v>71</v>
      </c>
      <c r="C25" s="16">
        <v>64</v>
      </c>
      <c r="D25" s="16">
        <f t="shared" si="13"/>
        <v>67.5</v>
      </c>
      <c r="E25" s="15">
        <v>1000</v>
      </c>
      <c r="F25" s="15">
        <f>1829.2-1800.3</f>
        <v>28.900000000000091</v>
      </c>
      <c r="G25" s="21">
        <f t="shared" ref="G25:G27" si="14">LOG10(D25*100*E25/F25*1000)</f>
        <v>8.3684059300744753</v>
      </c>
      <c r="H25" s="22"/>
    </row>
    <row r="26" spans="1:8" x14ac:dyDescent="0.2">
      <c r="A26" s="15" t="s">
        <v>19</v>
      </c>
      <c r="B26" s="16">
        <v>11</v>
      </c>
      <c r="C26" s="16">
        <v>12</v>
      </c>
      <c r="D26" s="16">
        <f t="shared" si="13"/>
        <v>11.5</v>
      </c>
      <c r="E26" s="15">
        <v>1000</v>
      </c>
      <c r="F26" s="15">
        <f>1748.6-1728.9</f>
        <v>19.699999999999818</v>
      </c>
      <c r="G26" s="21">
        <f t="shared" si="14"/>
        <v>7.7662316141920229</v>
      </c>
      <c r="H26" s="22"/>
    </row>
    <row r="27" spans="1:8" ht="17" x14ac:dyDescent="0.2">
      <c r="A27" s="26" t="s">
        <v>18</v>
      </c>
      <c r="B27" s="17">
        <v>44</v>
      </c>
      <c r="C27" s="17">
        <v>36</v>
      </c>
      <c r="D27" s="16">
        <f t="shared" si="13"/>
        <v>40</v>
      </c>
      <c r="E27" s="26">
        <v>100</v>
      </c>
      <c r="F27" s="26">
        <f>1966-1867</f>
        <v>99</v>
      </c>
      <c r="G27" s="21">
        <f t="shared" si="14"/>
        <v>6.6064247967304128</v>
      </c>
      <c r="H27" s="22"/>
    </row>
    <row r="28" spans="1:8" x14ac:dyDescent="0.2">
      <c r="A28" s="15"/>
      <c r="B28" s="16"/>
      <c r="C28" s="16"/>
      <c r="D28" s="16"/>
      <c r="E28" s="15"/>
      <c r="F28" s="4"/>
      <c r="G28" s="21"/>
      <c r="H28" s="22"/>
    </row>
    <row r="29" spans="1:8" ht="51" x14ac:dyDescent="0.2">
      <c r="A29" s="2" t="s">
        <v>28</v>
      </c>
      <c r="B29" s="69" t="s">
        <v>0</v>
      </c>
      <c r="C29" s="69"/>
      <c r="D29" s="31" t="s">
        <v>1</v>
      </c>
      <c r="E29" s="31" t="s">
        <v>4</v>
      </c>
      <c r="F29" s="31" t="s">
        <v>2</v>
      </c>
      <c r="G29" s="20" t="s">
        <v>3</v>
      </c>
      <c r="H29" s="22"/>
    </row>
    <row r="30" spans="1:8" x14ac:dyDescent="0.2">
      <c r="A30" s="15" t="s">
        <v>16</v>
      </c>
      <c r="B30">
        <v>10</v>
      </c>
      <c r="C30">
        <v>10</v>
      </c>
      <c r="D30">
        <f>AVERAGE(B30:C30)</f>
        <v>10</v>
      </c>
      <c r="E30" s="4">
        <v>10000</v>
      </c>
      <c r="F30" s="4">
        <f>1838.7-1808</f>
        <v>30.700000000000045</v>
      </c>
      <c r="G30" s="21">
        <f>LOG10(D30*100*E30/F30*1000)</f>
        <v>8.512861624522813</v>
      </c>
      <c r="H30" s="22"/>
    </row>
    <row r="31" spans="1:8" x14ac:dyDescent="0.2">
      <c r="A31" s="15" t="s">
        <v>17</v>
      </c>
      <c r="B31" s="16">
        <v>3</v>
      </c>
      <c r="C31" s="16">
        <v>5</v>
      </c>
      <c r="D31" s="16">
        <f t="shared" ref="D31:D34" si="15">AVERAGE(B31:C31)</f>
        <v>4</v>
      </c>
      <c r="E31" s="15">
        <v>10000</v>
      </c>
      <c r="F31" s="15">
        <f>1742.4-1711.9</f>
        <v>30.5</v>
      </c>
      <c r="G31" s="21">
        <f>LOG10(D31*100*E31/F31*1000)</f>
        <v>8.1177601519811766</v>
      </c>
      <c r="H31" s="22"/>
    </row>
    <row r="32" spans="1:8" x14ac:dyDescent="0.2">
      <c r="A32" s="15" t="s">
        <v>14</v>
      </c>
      <c r="B32" s="16">
        <v>57</v>
      </c>
      <c r="C32" s="16">
        <v>57</v>
      </c>
      <c r="D32" s="16">
        <f t="shared" si="15"/>
        <v>57</v>
      </c>
      <c r="E32" s="15">
        <v>1000</v>
      </c>
      <c r="F32" s="15">
        <f>1736-1685.7</f>
        <v>50.299999999999955</v>
      </c>
      <c r="G32" s="21">
        <f t="shared" ref="G32:G34" si="16">LOG10(D32*100*E32/F32*1000)</f>
        <v>8.0543068706165641</v>
      </c>
      <c r="H32" s="22"/>
    </row>
    <row r="33" spans="1:8" x14ac:dyDescent="0.2">
      <c r="A33" s="15" t="s">
        <v>19</v>
      </c>
      <c r="B33" s="16">
        <v>19</v>
      </c>
      <c r="C33" s="16">
        <v>20</v>
      </c>
      <c r="D33" s="16">
        <f t="shared" si="15"/>
        <v>19.5</v>
      </c>
      <c r="E33" s="15">
        <v>1000</v>
      </c>
      <c r="F33" s="15">
        <f>1751.8-1693.2</f>
        <v>58.599999999999909</v>
      </c>
      <c r="G33" s="21">
        <f t="shared" si="16"/>
        <v>7.5221369953444279</v>
      </c>
      <c r="H33" s="20"/>
    </row>
    <row r="34" spans="1:8" ht="17" x14ac:dyDescent="0.2">
      <c r="A34" s="26" t="s">
        <v>18</v>
      </c>
      <c r="B34" s="17">
        <v>8</v>
      </c>
      <c r="C34" s="17">
        <v>6</v>
      </c>
      <c r="D34" s="16">
        <f t="shared" si="15"/>
        <v>7</v>
      </c>
      <c r="E34" s="26">
        <v>100</v>
      </c>
      <c r="F34" s="26">
        <f>1961.4-1922.2</f>
        <v>39.200000000000045</v>
      </c>
      <c r="G34" s="21">
        <f t="shared" si="16"/>
        <v>6.2518119729937993</v>
      </c>
      <c r="H34" s="22"/>
    </row>
    <row r="35" spans="1:8" x14ac:dyDescent="0.2">
      <c r="A35" s="15"/>
      <c r="B35" s="16"/>
      <c r="C35" s="16"/>
      <c r="D35" s="16"/>
      <c r="E35" s="15"/>
      <c r="F35" s="15"/>
      <c r="G35" s="21"/>
      <c r="H35" s="22"/>
    </row>
    <row r="36" spans="1:8" ht="51" x14ac:dyDescent="0.2">
      <c r="A36" s="2" t="s">
        <v>33</v>
      </c>
      <c r="B36" s="69" t="s">
        <v>0</v>
      </c>
      <c r="C36" s="69"/>
      <c r="D36" s="31" t="s">
        <v>1</v>
      </c>
      <c r="E36" s="31" t="s">
        <v>4</v>
      </c>
      <c r="F36" s="31" t="s">
        <v>2</v>
      </c>
      <c r="G36" s="20" t="s">
        <v>3</v>
      </c>
      <c r="H36" s="22"/>
    </row>
    <row r="37" spans="1:8" x14ac:dyDescent="0.2">
      <c r="A37" s="15" t="s">
        <v>29</v>
      </c>
      <c r="B37">
        <v>0</v>
      </c>
      <c r="C37">
        <v>0</v>
      </c>
      <c r="D37">
        <f>AVERAGE(B37:C37)</f>
        <v>0</v>
      </c>
      <c r="E37" s="4">
        <v>1</v>
      </c>
      <c r="F37" s="4">
        <f>1681.2-1665.2</f>
        <v>16</v>
      </c>
      <c r="G37" s="21" t="e">
        <f>LOG10(D37*100*E37/F37*1000)</f>
        <v>#NUM!</v>
      </c>
      <c r="H37" s="22"/>
    </row>
    <row r="38" spans="1:8" x14ac:dyDescent="0.2">
      <c r="A38" s="15" t="s">
        <v>30</v>
      </c>
      <c r="B38" s="16">
        <v>0</v>
      </c>
      <c r="C38" s="16">
        <v>0</v>
      </c>
      <c r="D38" s="16">
        <f t="shared" ref="D38:D40" si="17">AVERAGE(B38:C38)</f>
        <v>0</v>
      </c>
      <c r="E38" s="15">
        <v>1</v>
      </c>
      <c r="F38" s="15">
        <f>1899.9-1856.9</f>
        <v>43</v>
      </c>
      <c r="G38" s="21" t="e">
        <f>LOG10(D38*100*E38/F38*1000)</f>
        <v>#NUM!</v>
      </c>
      <c r="H38" s="22"/>
    </row>
    <row r="39" spans="1:8" x14ac:dyDescent="0.2">
      <c r="A39" s="15" t="s">
        <v>16</v>
      </c>
      <c r="B39" s="16">
        <v>0</v>
      </c>
      <c r="C39" s="16">
        <v>0</v>
      </c>
      <c r="D39" s="16">
        <f t="shared" si="17"/>
        <v>0</v>
      </c>
      <c r="E39" s="15">
        <v>1</v>
      </c>
      <c r="F39" s="15">
        <f>1683.4-1646.2</f>
        <v>37.200000000000045</v>
      </c>
      <c r="G39" s="21" t="e">
        <f t="shared" ref="G39:G40" si="18">LOG10(D39*100*E39/F39*1000)</f>
        <v>#NUM!</v>
      </c>
      <c r="H39" s="22"/>
    </row>
    <row r="40" spans="1:8" x14ac:dyDescent="0.2">
      <c r="A40" s="15" t="s">
        <v>31</v>
      </c>
      <c r="B40" s="16">
        <v>0</v>
      </c>
      <c r="C40" s="16">
        <v>0</v>
      </c>
      <c r="D40" s="16">
        <f t="shared" si="17"/>
        <v>0</v>
      </c>
      <c r="E40" s="15">
        <v>1</v>
      </c>
      <c r="F40" s="15">
        <f>1749.6-1727.6</f>
        <v>22</v>
      </c>
      <c r="G40" s="21" t="e">
        <f t="shared" si="18"/>
        <v>#NUM!</v>
      </c>
      <c r="H40" s="22"/>
    </row>
    <row r="41" spans="1:8" ht="17" x14ac:dyDescent="0.2">
      <c r="A41" s="26" t="s">
        <v>17</v>
      </c>
      <c r="B41" s="17">
        <v>0</v>
      </c>
      <c r="C41" s="17">
        <v>0</v>
      </c>
      <c r="D41" s="16">
        <f>AVERAGE(B41:C41)</f>
        <v>0</v>
      </c>
      <c r="E41" s="26">
        <v>1</v>
      </c>
      <c r="F41" s="26">
        <f>1787.7-1762.2</f>
        <v>25.5</v>
      </c>
      <c r="G41" s="21" t="e">
        <f>LOG10(D41*100*E41/F41*1000)</f>
        <v>#NUM!</v>
      </c>
      <c r="H41" s="22"/>
    </row>
    <row r="42" spans="1:8" x14ac:dyDescent="0.2">
      <c r="A42" s="15" t="s">
        <v>32</v>
      </c>
      <c r="B42" s="16">
        <v>0</v>
      </c>
      <c r="C42" s="16">
        <v>0</v>
      </c>
      <c r="D42" s="16">
        <f t="shared" ref="D42:D43" si="19">AVERAGE(B42:C42)</f>
        <v>0</v>
      </c>
      <c r="E42" s="15">
        <v>1</v>
      </c>
      <c r="F42" s="4">
        <f>1671.8-1626.2</f>
        <v>45.599999999999909</v>
      </c>
      <c r="G42" s="21" t="e">
        <f t="shared" ref="G42:G43" si="20">LOG10(D42*100*E42/F42*1000)</f>
        <v>#NUM!</v>
      </c>
      <c r="H42" s="22"/>
    </row>
    <row r="43" spans="1:8" ht="17" x14ac:dyDescent="0.2">
      <c r="A43" s="26" t="s">
        <v>14</v>
      </c>
      <c r="B43" s="18">
        <v>0</v>
      </c>
      <c r="C43" s="18">
        <v>0</v>
      </c>
      <c r="D43" s="16">
        <f t="shared" si="19"/>
        <v>0</v>
      </c>
      <c r="E43" s="31">
        <v>1</v>
      </c>
      <c r="F43" s="31">
        <f>1757.1-1723.8</f>
        <v>33.299999999999955</v>
      </c>
      <c r="G43" s="21" t="e">
        <f t="shared" si="20"/>
        <v>#NUM!</v>
      </c>
      <c r="H43" s="22"/>
    </row>
    <row r="44" spans="1:8" x14ac:dyDescent="0.2">
      <c r="A44" s="15"/>
      <c r="E44" s="4"/>
      <c r="F44" s="4"/>
      <c r="G44" s="21"/>
      <c r="H44" s="22"/>
    </row>
    <row r="45" spans="1:8" ht="51" x14ac:dyDescent="0.2">
      <c r="A45" s="2" t="s">
        <v>34</v>
      </c>
      <c r="B45" s="69" t="s">
        <v>0</v>
      </c>
      <c r="C45" s="69"/>
      <c r="D45" s="49" t="s">
        <v>1</v>
      </c>
      <c r="E45" s="49" t="s">
        <v>4</v>
      </c>
      <c r="F45" s="49" t="s">
        <v>2</v>
      </c>
      <c r="G45" s="20" t="s">
        <v>3</v>
      </c>
      <c r="H45" s="22"/>
    </row>
    <row r="46" spans="1:8" x14ac:dyDescent="0.2">
      <c r="A46" s="15" t="s">
        <v>29</v>
      </c>
      <c r="B46">
        <v>0</v>
      </c>
      <c r="C46">
        <v>0</v>
      </c>
      <c r="D46">
        <f>AVERAGE(B46:C46)</f>
        <v>0</v>
      </c>
      <c r="E46" s="4">
        <v>1</v>
      </c>
      <c r="F46" s="4">
        <f>1691.1-1671.4</f>
        <v>19.699999999999818</v>
      </c>
      <c r="G46" s="21" t="e">
        <f>LOG10(D46*100*E46/F46*1000)</f>
        <v>#NUM!</v>
      </c>
      <c r="H46" s="22"/>
    </row>
    <row r="47" spans="1:8" x14ac:dyDescent="0.2">
      <c r="A47" s="15" t="s">
        <v>30</v>
      </c>
      <c r="B47" s="16">
        <v>0</v>
      </c>
      <c r="C47" s="16">
        <v>0</v>
      </c>
      <c r="D47" s="16">
        <f t="shared" ref="D47:D49" si="21">AVERAGE(B47:C47)</f>
        <v>0</v>
      </c>
      <c r="E47" s="15">
        <v>1</v>
      </c>
      <c r="F47" s="15">
        <f>1777.3-1744.8</f>
        <v>32.5</v>
      </c>
      <c r="G47" s="21" t="e">
        <f>LOG10(D47*100*E47/F47*1000)</f>
        <v>#NUM!</v>
      </c>
      <c r="H47" s="22"/>
    </row>
    <row r="48" spans="1:8" x14ac:dyDescent="0.2">
      <c r="A48" s="15" t="s">
        <v>16</v>
      </c>
      <c r="B48" s="16">
        <v>0</v>
      </c>
      <c r="C48" s="16">
        <v>0</v>
      </c>
      <c r="D48" s="16">
        <f t="shared" si="21"/>
        <v>0</v>
      </c>
      <c r="E48" s="15">
        <v>1</v>
      </c>
      <c r="F48" s="15">
        <f>1682.2-1668.4</f>
        <v>13.799999999999955</v>
      </c>
      <c r="G48" s="21" t="e">
        <f t="shared" ref="G48:G49" si="22">LOG10(D48*100*E48/F48*1000)</f>
        <v>#NUM!</v>
      </c>
      <c r="H48" s="22"/>
    </row>
    <row r="49" spans="1:8" x14ac:dyDescent="0.2">
      <c r="A49" s="15" t="s">
        <v>31</v>
      </c>
      <c r="B49" s="16">
        <v>4</v>
      </c>
      <c r="C49" s="16">
        <v>2</v>
      </c>
      <c r="D49" s="16">
        <f t="shared" si="21"/>
        <v>3</v>
      </c>
      <c r="E49" s="15">
        <v>1</v>
      </c>
      <c r="F49" s="15">
        <f>1763.7-1749</f>
        <v>14.700000000000045</v>
      </c>
      <c r="G49" s="21">
        <f t="shared" si="22"/>
        <v>4.3098039199714853</v>
      </c>
      <c r="H49" s="22"/>
    </row>
    <row r="50" spans="1:8" ht="17" x14ac:dyDescent="0.2">
      <c r="A50" s="26" t="s">
        <v>17</v>
      </c>
      <c r="B50" s="17">
        <v>6</v>
      </c>
      <c r="C50" s="17">
        <v>6</v>
      </c>
      <c r="D50" s="16">
        <f>AVERAGE(B50:C50)</f>
        <v>6</v>
      </c>
      <c r="E50" s="26">
        <v>1</v>
      </c>
      <c r="F50" s="26">
        <f>1751.7-1683.6</f>
        <v>68.100000000000136</v>
      </c>
      <c r="G50" s="21">
        <f>LOG10(D50*100*E50/F50*1000)</f>
        <v>3.9450041384708574</v>
      </c>
      <c r="H50" s="22"/>
    </row>
    <row r="51" spans="1:8" x14ac:dyDescent="0.2">
      <c r="A51" s="15" t="s">
        <v>32</v>
      </c>
      <c r="B51" s="16">
        <v>0</v>
      </c>
      <c r="C51" s="16"/>
      <c r="D51" s="16">
        <f t="shared" ref="D51:D52" si="23">AVERAGE(B51:C51)</f>
        <v>0</v>
      </c>
      <c r="E51" s="15">
        <v>1</v>
      </c>
      <c r="F51" s="4">
        <f>1751.7-1683.6</f>
        <v>68.100000000000136</v>
      </c>
      <c r="G51" s="21" t="e">
        <f t="shared" ref="G51:G52" si="24">LOG10(D51*100*E51/F51*1000)</f>
        <v>#NUM!</v>
      </c>
      <c r="H51" s="22"/>
    </row>
    <row r="52" spans="1:8" ht="17" x14ac:dyDescent="0.2">
      <c r="A52" s="26" t="s">
        <v>14</v>
      </c>
      <c r="B52" s="18">
        <v>0</v>
      </c>
      <c r="C52" s="18">
        <v>0</v>
      </c>
      <c r="D52" s="16">
        <f t="shared" si="23"/>
        <v>0</v>
      </c>
      <c r="E52" s="49">
        <v>1</v>
      </c>
      <c r="F52" s="49">
        <f>1687.4-1662.5</f>
        <v>24.900000000000091</v>
      </c>
      <c r="G52" s="21" t="e">
        <f t="shared" si="24"/>
        <v>#NUM!</v>
      </c>
      <c r="H52" s="22"/>
    </row>
    <row r="53" spans="1:8" x14ac:dyDescent="0.2">
      <c r="A53" s="15"/>
      <c r="B53" s="16"/>
      <c r="C53" s="16"/>
      <c r="D53" s="16"/>
      <c r="E53" s="15"/>
      <c r="F53" s="15"/>
      <c r="G53" s="21"/>
      <c r="H53" s="22"/>
    </row>
    <row r="54" spans="1:8" ht="51" x14ac:dyDescent="0.2">
      <c r="A54" s="28" t="s">
        <v>35</v>
      </c>
      <c r="B54" s="70" t="s">
        <v>0</v>
      </c>
      <c r="C54" s="70"/>
      <c r="D54" s="57" t="s">
        <v>1</v>
      </c>
      <c r="E54" s="57" t="s">
        <v>4</v>
      </c>
      <c r="F54" s="57" t="s">
        <v>2</v>
      </c>
      <c r="G54" s="58" t="s">
        <v>3</v>
      </c>
      <c r="H54" s="22"/>
    </row>
    <row r="55" spans="1:8" x14ac:dyDescent="0.2">
      <c r="A55" s="29" t="s">
        <v>29</v>
      </c>
      <c r="B55" s="30">
        <v>0</v>
      </c>
      <c r="C55" s="30">
        <v>0</v>
      </c>
      <c r="D55">
        <f>AVERAGE(B55:C55)</f>
        <v>0</v>
      </c>
      <c r="E55" s="29">
        <v>1</v>
      </c>
      <c r="F55" s="29">
        <f>1801.6-1783.2</f>
        <v>18.399999999999864</v>
      </c>
      <c r="G55" s="21" t="e">
        <f>LOG10(D55*100*E55/F55*1000)</f>
        <v>#NUM!</v>
      </c>
      <c r="H55" s="22"/>
    </row>
    <row r="56" spans="1:8" x14ac:dyDescent="0.2">
      <c r="A56" s="29" t="s">
        <v>30</v>
      </c>
      <c r="B56" s="30">
        <v>0</v>
      </c>
      <c r="C56" s="30">
        <v>0</v>
      </c>
      <c r="D56" s="16">
        <f t="shared" ref="D56:D58" si="25">AVERAGE(B56:C56)</f>
        <v>0</v>
      </c>
      <c r="E56" s="29">
        <v>1</v>
      </c>
      <c r="F56" s="29">
        <f>1743.4-1719.4</f>
        <v>24</v>
      </c>
      <c r="G56" s="21" t="e">
        <f>LOG10(D56*100*E56/F56*1000)</f>
        <v>#NUM!</v>
      </c>
      <c r="H56" s="22"/>
    </row>
    <row r="57" spans="1:8" x14ac:dyDescent="0.2">
      <c r="A57" s="29" t="s">
        <v>16</v>
      </c>
      <c r="B57" s="30">
        <v>0</v>
      </c>
      <c r="C57" s="30">
        <v>3</v>
      </c>
      <c r="D57" s="16">
        <f t="shared" si="25"/>
        <v>1.5</v>
      </c>
      <c r="E57" s="29">
        <v>1</v>
      </c>
      <c r="F57" s="29">
        <f>1683.2-1644.5</f>
        <v>38.700000000000045</v>
      </c>
      <c r="G57" s="21">
        <f>LOG10(D57*100*E57/F57*1000)</f>
        <v>3.5883802940367695</v>
      </c>
      <c r="H57" s="22"/>
    </row>
    <row r="58" spans="1:8" x14ac:dyDescent="0.2">
      <c r="A58" s="29" t="s">
        <v>31</v>
      </c>
      <c r="B58" s="30">
        <v>0</v>
      </c>
      <c r="C58" s="30">
        <v>0</v>
      </c>
      <c r="D58" s="16">
        <f t="shared" si="25"/>
        <v>0</v>
      </c>
      <c r="E58" s="29">
        <v>1</v>
      </c>
      <c r="F58" s="29">
        <f>1825-1793.8</f>
        <v>31.200000000000045</v>
      </c>
      <c r="G58" s="21" t="e">
        <f t="shared" ref="G58" si="26">LOG10(D58*100*E58/F58*1000)</f>
        <v>#NUM!</v>
      </c>
      <c r="H58" s="22"/>
    </row>
    <row r="59" spans="1:8" ht="17" customHeight="1" x14ac:dyDescent="0.2">
      <c r="A59" s="57" t="s">
        <v>17</v>
      </c>
      <c r="B59" s="59">
        <v>0</v>
      </c>
      <c r="C59" s="59">
        <v>0</v>
      </c>
      <c r="D59" s="16">
        <f>AVERAGE(B59:C59)</f>
        <v>0</v>
      </c>
      <c r="E59" s="57">
        <v>1</v>
      </c>
      <c r="F59" s="57">
        <f>1677.2-1660.5</f>
        <v>16.700000000000045</v>
      </c>
      <c r="G59" s="21" t="e">
        <f>LOG10(D59*100*E59/F59*1000)</f>
        <v>#NUM!</v>
      </c>
      <c r="H59" s="22"/>
    </row>
    <row r="60" spans="1:8" x14ac:dyDescent="0.2">
      <c r="A60" s="29" t="s">
        <v>32</v>
      </c>
      <c r="B60" s="30">
        <v>0</v>
      </c>
      <c r="C60" s="30">
        <v>0</v>
      </c>
      <c r="D60" s="16">
        <f t="shared" ref="D60:D61" si="27">AVERAGE(B60:C60)</f>
        <v>0</v>
      </c>
      <c r="E60" s="29">
        <v>1</v>
      </c>
      <c r="F60" s="29">
        <f>1745.7-1680.9</f>
        <v>64.799999999999955</v>
      </c>
      <c r="G60" s="21" t="e">
        <f t="shared" ref="G60:G61" si="28">LOG10(D60*100*E60/F60*1000)</f>
        <v>#NUM!</v>
      </c>
      <c r="H60" s="22"/>
    </row>
    <row r="61" spans="1:8" ht="17" x14ac:dyDescent="0.2">
      <c r="A61" s="57" t="s">
        <v>14</v>
      </c>
      <c r="B61" s="59">
        <v>3</v>
      </c>
      <c r="C61" s="59">
        <v>1</v>
      </c>
      <c r="D61" s="16">
        <f t="shared" si="27"/>
        <v>2</v>
      </c>
      <c r="E61" s="57">
        <v>1</v>
      </c>
      <c r="F61" s="57">
        <f>1849.8-1755.5</f>
        <v>94.299999999999955</v>
      </c>
      <c r="G61" s="21">
        <f t="shared" si="28"/>
        <v>3.3265183029266532</v>
      </c>
      <c r="H61" s="22"/>
    </row>
    <row r="62" spans="1:8" x14ac:dyDescent="0.2">
      <c r="A62" s="26"/>
      <c r="B62" s="17"/>
      <c r="C62" s="17"/>
      <c r="D62" s="16"/>
      <c r="E62" s="26"/>
      <c r="F62" s="26"/>
      <c r="G62" s="21"/>
      <c r="H62" s="22"/>
    </row>
    <row r="63" spans="1:8" ht="51" x14ac:dyDescent="0.2">
      <c r="A63" s="28" t="s">
        <v>36</v>
      </c>
      <c r="B63" s="70" t="s">
        <v>0</v>
      </c>
      <c r="C63" s="70"/>
      <c r="D63" s="57" t="s">
        <v>1</v>
      </c>
      <c r="E63" s="57" t="s">
        <v>4</v>
      </c>
      <c r="F63" s="57" t="s">
        <v>2</v>
      </c>
      <c r="G63" s="58" t="s">
        <v>3</v>
      </c>
      <c r="H63" s="22"/>
    </row>
    <row r="64" spans="1:8" x14ac:dyDescent="0.2">
      <c r="A64" s="29" t="s">
        <v>29</v>
      </c>
      <c r="B64" s="30">
        <v>0</v>
      </c>
      <c r="C64" s="30">
        <v>1</v>
      </c>
      <c r="D64">
        <f>AVERAGE(B64:C64)</f>
        <v>0.5</v>
      </c>
      <c r="E64" s="29">
        <v>1</v>
      </c>
      <c r="F64" s="29">
        <f>1772.8-1740.8</f>
        <v>32</v>
      </c>
      <c r="G64" s="21">
        <f>LOG10(D64*100*E64/F64*1000)</f>
        <v>3.1938200260161129</v>
      </c>
      <c r="H64" s="20"/>
    </row>
    <row r="65" spans="1:8" x14ac:dyDescent="0.2">
      <c r="A65" s="29" t="s">
        <v>30</v>
      </c>
      <c r="B65" s="30">
        <v>0</v>
      </c>
      <c r="C65" s="30">
        <v>0</v>
      </c>
      <c r="D65" s="16">
        <f t="shared" ref="D65:D67" si="29">AVERAGE(B65:C65)</f>
        <v>0</v>
      </c>
      <c r="E65" s="29">
        <v>1</v>
      </c>
      <c r="F65" s="29">
        <f>1814.4-1796.8</f>
        <v>17.600000000000136</v>
      </c>
      <c r="G65" s="21" t="e">
        <f>LOG10(D65*100*E65/F65*1000)</f>
        <v>#NUM!</v>
      </c>
      <c r="H65" s="22"/>
    </row>
    <row r="66" spans="1:8" x14ac:dyDescent="0.2">
      <c r="A66" s="29" t="s">
        <v>16</v>
      </c>
      <c r="B66" s="30">
        <v>0</v>
      </c>
      <c r="C66" s="30">
        <v>0</v>
      </c>
      <c r="D66" s="16">
        <f t="shared" si="29"/>
        <v>0</v>
      </c>
      <c r="E66" s="29">
        <v>1</v>
      </c>
      <c r="F66" s="29">
        <f>1875-1847.3</f>
        <v>27.700000000000045</v>
      </c>
      <c r="G66" s="21" t="e">
        <f>LOG10(D66*100*E66/F66*1000)</f>
        <v>#NUM!</v>
      </c>
      <c r="H66" s="22"/>
    </row>
    <row r="67" spans="1:8" x14ac:dyDescent="0.2">
      <c r="A67" s="29" t="s">
        <v>31</v>
      </c>
      <c r="B67" s="30">
        <v>0</v>
      </c>
      <c r="C67" s="30">
        <v>0</v>
      </c>
      <c r="D67" s="16">
        <f t="shared" si="29"/>
        <v>0</v>
      </c>
      <c r="E67" s="29">
        <v>1</v>
      </c>
      <c r="F67" s="29">
        <f>1712.3-1633.5</f>
        <v>78.799999999999955</v>
      </c>
      <c r="G67" s="21" t="e">
        <f t="shared" ref="G67" si="30">LOG10(D67*100*E67/F67*1000)</f>
        <v>#NUM!</v>
      </c>
      <c r="H67" s="22"/>
    </row>
    <row r="68" spans="1:8" ht="17" x14ac:dyDescent="0.2">
      <c r="A68" s="57" t="s">
        <v>17</v>
      </c>
      <c r="B68" s="59">
        <v>0</v>
      </c>
      <c r="C68" s="59">
        <v>0</v>
      </c>
      <c r="D68" s="16">
        <f>AVERAGE(B68:C68)</f>
        <v>0</v>
      </c>
      <c r="E68" s="57">
        <v>1</v>
      </c>
      <c r="F68" s="57">
        <f>1762-1737.2</f>
        <v>24.799999999999955</v>
      </c>
      <c r="G68" s="21" t="e">
        <f>LOG10(D68*100*E68/F68*1000)</f>
        <v>#NUM!</v>
      </c>
      <c r="H68" s="22"/>
    </row>
    <row r="69" spans="1:8" x14ac:dyDescent="0.2">
      <c r="A69" s="29" t="s">
        <v>32</v>
      </c>
      <c r="B69" s="30">
        <v>0</v>
      </c>
      <c r="C69" s="30">
        <v>0</v>
      </c>
      <c r="D69" s="16">
        <f t="shared" ref="D69:D70" si="31">AVERAGE(B69:C69)</f>
        <v>0</v>
      </c>
      <c r="E69" s="29">
        <v>1</v>
      </c>
      <c r="F69" s="29">
        <f>1750.8-1709.6</f>
        <v>41.200000000000045</v>
      </c>
      <c r="G69" s="21" t="e">
        <f t="shared" ref="G69:G70" si="32">LOG10(D69*100*E69/F69*1000)</f>
        <v>#NUM!</v>
      </c>
      <c r="H69" s="22"/>
    </row>
    <row r="70" spans="1:8" ht="17" x14ac:dyDescent="0.2">
      <c r="A70" s="57" t="s">
        <v>14</v>
      </c>
      <c r="B70" s="59">
        <v>0</v>
      </c>
      <c r="C70" s="59">
        <v>0</v>
      </c>
      <c r="D70" s="16">
        <f t="shared" si="31"/>
        <v>0</v>
      </c>
      <c r="E70" s="57">
        <v>1</v>
      </c>
      <c r="F70" s="57">
        <f>1771.2-1733.9</f>
        <v>37.299999999999955</v>
      </c>
      <c r="G70" s="21" t="e">
        <f t="shared" si="32"/>
        <v>#NUM!</v>
      </c>
      <c r="H70" s="22"/>
    </row>
    <row r="71" spans="1:8" x14ac:dyDescent="0.2">
      <c r="A71" s="2"/>
      <c r="B71" s="69"/>
      <c r="C71" s="69"/>
      <c r="D71" s="31"/>
      <c r="E71" s="31"/>
      <c r="F71" s="31"/>
      <c r="G71" s="20"/>
      <c r="H71" s="22"/>
    </row>
    <row r="72" spans="1:8" ht="51" x14ac:dyDescent="0.2">
      <c r="A72" s="28" t="s">
        <v>37</v>
      </c>
      <c r="B72" s="70" t="s">
        <v>0</v>
      </c>
      <c r="C72" s="70"/>
      <c r="D72" s="57" t="s">
        <v>1</v>
      </c>
      <c r="E72" s="57" t="s">
        <v>4</v>
      </c>
      <c r="F72" s="57" t="s">
        <v>2</v>
      </c>
      <c r="G72" s="58" t="s">
        <v>3</v>
      </c>
      <c r="H72" s="22"/>
    </row>
    <row r="73" spans="1:8" x14ac:dyDescent="0.2">
      <c r="A73" s="29" t="s">
        <v>29</v>
      </c>
      <c r="B73" s="30">
        <v>0</v>
      </c>
      <c r="C73" s="30">
        <v>0</v>
      </c>
      <c r="D73">
        <f>AVERAGE(B73:C73)</f>
        <v>0</v>
      </c>
      <c r="E73">
        <v>1</v>
      </c>
      <c r="F73" s="29">
        <f>1677.6-1663.5</f>
        <v>14.099999999999909</v>
      </c>
      <c r="G73" s="21" t="e">
        <f>LOG10(D73*100*E73/F73*1000)</f>
        <v>#NUM!</v>
      </c>
      <c r="H73" s="22"/>
    </row>
    <row r="74" spans="1:8" x14ac:dyDescent="0.2">
      <c r="A74" s="29" t="s">
        <v>30</v>
      </c>
      <c r="B74" s="30">
        <v>0</v>
      </c>
      <c r="C74" s="30">
        <v>0</v>
      </c>
      <c r="D74" s="16">
        <f t="shared" ref="D74:D76" si="33">AVERAGE(B74:C74)</f>
        <v>0</v>
      </c>
      <c r="E74">
        <v>1</v>
      </c>
      <c r="F74" s="29">
        <f>1824.2-1778.9</f>
        <v>45.299999999999955</v>
      </c>
      <c r="G74" s="21" t="e">
        <f>LOG10(D74*100*E74/F74*1000)</f>
        <v>#NUM!</v>
      </c>
      <c r="H74" s="22"/>
    </row>
    <row r="75" spans="1:8" x14ac:dyDescent="0.2">
      <c r="A75" s="29" t="s">
        <v>16</v>
      </c>
      <c r="B75" s="30">
        <v>0</v>
      </c>
      <c r="C75" s="30">
        <v>0</v>
      </c>
      <c r="D75" s="16">
        <f t="shared" si="33"/>
        <v>0</v>
      </c>
      <c r="E75">
        <v>1</v>
      </c>
      <c r="F75" s="29">
        <f>1784.5-1749.9</f>
        <v>34.599999999999909</v>
      </c>
      <c r="G75" s="21" t="e">
        <f>LOG10(D75*100*E75/F75*1000)</f>
        <v>#NUM!</v>
      </c>
      <c r="H75" s="22"/>
    </row>
    <row r="76" spans="1:8" x14ac:dyDescent="0.2">
      <c r="A76" s="29" t="s">
        <v>31</v>
      </c>
      <c r="B76" s="30">
        <v>0</v>
      </c>
      <c r="C76" s="30">
        <v>0</v>
      </c>
      <c r="D76" s="16">
        <f t="shared" si="33"/>
        <v>0</v>
      </c>
      <c r="E76" s="29">
        <v>1</v>
      </c>
      <c r="F76" s="29">
        <f>1781.5-1725.1</f>
        <v>56.400000000000091</v>
      </c>
      <c r="G76" s="21" t="e">
        <f t="shared" ref="G76" si="34">LOG10(D76*100*E76/F76*1000)</f>
        <v>#NUM!</v>
      </c>
      <c r="H76" s="22"/>
    </row>
    <row r="77" spans="1:8" ht="17" x14ac:dyDescent="0.2">
      <c r="A77" s="57" t="s">
        <v>17</v>
      </c>
      <c r="B77" s="59">
        <v>0</v>
      </c>
      <c r="C77" s="59">
        <v>0</v>
      </c>
      <c r="D77" s="16">
        <f>AVERAGE(B77:C77)</f>
        <v>0</v>
      </c>
      <c r="E77" s="57">
        <v>1</v>
      </c>
      <c r="F77" s="57">
        <f>1764-1703.2</f>
        <v>60.799999999999955</v>
      </c>
      <c r="G77" s="21" t="e">
        <f>LOG10(D77*100*E77/F77*1000)</f>
        <v>#NUM!</v>
      </c>
      <c r="H77" s="22"/>
    </row>
    <row r="78" spans="1:8" x14ac:dyDescent="0.2">
      <c r="A78" s="29" t="s">
        <v>32</v>
      </c>
      <c r="B78" s="30">
        <v>0</v>
      </c>
      <c r="C78" s="30">
        <v>0</v>
      </c>
      <c r="D78" s="16">
        <f t="shared" ref="D78:D79" si="35">AVERAGE(B78:C78)</f>
        <v>0</v>
      </c>
      <c r="E78" s="29">
        <v>1</v>
      </c>
      <c r="F78" s="29">
        <f>1791.9-1729.6</f>
        <v>62.300000000000182</v>
      </c>
      <c r="G78" s="21" t="e">
        <f t="shared" ref="G78:G79" si="36">LOG10(D78*100*E78/F78*1000)</f>
        <v>#NUM!</v>
      </c>
      <c r="H78" s="22"/>
    </row>
    <row r="79" spans="1:8" ht="17" x14ac:dyDescent="0.2">
      <c r="A79" s="57" t="s">
        <v>14</v>
      </c>
      <c r="B79" s="59">
        <v>0</v>
      </c>
      <c r="C79" s="59">
        <v>0</v>
      </c>
      <c r="D79" s="16">
        <f t="shared" si="35"/>
        <v>0</v>
      </c>
      <c r="E79" s="57">
        <v>1</v>
      </c>
      <c r="F79" s="57">
        <f>1710-1668.2</f>
        <v>41.799999999999955</v>
      </c>
      <c r="G79" s="21" t="e">
        <f t="shared" si="36"/>
        <v>#NUM!</v>
      </c>
      <c r="H79" s="22"/>
    </row>
    <row r="80" spans="1:8" x14ac:dyDescent="0.2">
      <c r="A80" s="15"/>
      <c r="B80" s="16"/>
      <c r="C80" s="16"/>
      <c r="D80" s="16"/>
      <c r="E80" s="15"/>
      <c r="F80" s="15"/>
      <c r="G80" s="21"/>
      <c r="H80" s="22"/>
    </row>
    <row r="81" spans="1:8" ht="51" x14ac:dyDescent="0.2">
      <c r="A81" s="2" t="s">
        <v>38</v>
      </c>
      <c r="B81" s="69" t="s">
        <v>0</v>
      </c>
      <c r="C81" s="69"/>
      <c r="D81" s="49" t="s">
        <v>1</v>
      </c>
      <c r="E81" s="49" t="s">
        <v>4</v>
      </c>
      <c r="F81" s="49" t="s">
        <v>2</v>
      </c>
      <c r="G81" s="20" t="s">
        <v>3</v>
      </c>
      <c r="H81" s="22"/>
    </row>
    <row r="82" spans="1:8" x14ac:dyDescent="0.2">
      <c r="A82" s="15" t="s">
        <v>29</v>
      </c>
      <c r="B82">
        <v>11</v>
      </c>
      <c r="C82">
        <v>12</v>
      </c>
      <c r="D82">
        <f>AVERAGE(B82:C82)</f>
        <v>11.5</v>
      </c>
      <c r="E82" s="4">
        <v>100</v>
      </c>
      <c r="F82" s="4">
        <f>1683.6-1657.4</f>
        <v>26.199999999999818</v>
      </c>
      <c r="G82" s="21">
        <f>LOG10(D82*100*E82/F82*1000)</f>
        <v>6.6423965490338697</v>
      </c>
      <c r="H82" s="22"/>
    </row>
    <row r="83" spans="1:8" x14ac:dyDescent="0.2">
      <c r="A83" s="15" t="s">
        <v>30</v>
      </c>
      <c r="B83" s="16">
        <v>62</v>
      </c>
      <c r="C83" s="16">
        <v>57</v>
      </c>
      <c r="D83" s="16">
        <f t="shared" ref="D83:D85" si="37">AVERAGE(B83:C83)</f>
        <v>59.5</v>
      </c>
      <c r="E83" s="15">
        <v>1000</v>
      </c>
      <c r="F83" s="15">
        <f>1903-1847.7</f>
        <v>55.299999999999955</v>
      </c>
      <c r="G83" s="21">
        <f>LOG10(D83*100*E83/F83*1000)</f>
        <v>8.031791834423851</v>
      </c>
      <c r="H83" s="22"/>
    </row>
    <row r="84" spans="1:8" x14ac:dyDescent="0.2">
      <c r="A84" s="15" t="s">
        <v>16</v>
      </c>
      <c r="B84" s="16">
        <v>13</v>
      </c>
      <c r="C84" s="16">
        <v>14</v>
      </c>
      <c r="D84" s="16">
        <f t="shared" si="37"/>
        <v>13.5</v>
      </c>
      <c r="E84" s="15">
        <v>1000</v>
      </c>
      <c r="F84" s="15">
        <f>1720.7-1695.8</f>
        <v>24.900000000000091</v>
      </c>
      <c r="G84" s="21">
        <f t="shared" ref="G84:G85" si="38">LOG10(D84*100*E84/F84*1000)</f>
        <v>7.7341344213992684</v>
      </c>
      <c r="H84" s="22"/>
    </row>
    <row r="85" spans="1:8" x14ac:dyDescent="0.2">
      <c r="A85" s="15" t="s">
        <v>31</v>
      </c>
      <c r="B85" s="16">
        <v>10</v>
      </c>
      <c r="C85" s="16">
        <v>7</v>
      </c>
      <c r="D85" s="16">
        <f t="shared" si="37"/>
        <v>8.5</v>
      </c>
      <c r="E85" s="15">
        <v>1000</v>
      </c>
      <c r="F85" s="15">
        <f>1690.1-1666.4</f>
        <v>23.699999999999818</v>
      </c>
      <c r="G85" s="21">
        <f t="shared" si="38"/>
        <v>7.554670579704192</v>
      </c>
      <c r="H85" s="22"/>
    </row>
    <row r="86" spans="1:8" ht="17" x14ac:dyDescent="0.2">
      <c r="A86" s="26" t="s">
        <v>17</v>
      </c>
      <c r="B86" s="17">
        <v>32</v>
      </c>
      <c r="C86" s="17">
        <v>53</v>
      </c>
      <c r="D86" s="16">
        <f>AVERAGE(B86:C86)</f>
        <v>42.5</v>
      </c>
      <c r="E86" s="26">
        <v>1000</v>
      </c>
      <c r="F86" s="26">
        <f>1755.7-1734.4</f>
        <v>21.299999999999955</v>
      </c>
      <c r="G86" s="21">
        <f>LOG10(D86*100*E86/F86*1000)</f>
        <v>8.3000093266115744</v>
      </c>
      <c r="H86" s="22"/>
    </row>
    <row r="87" spans="1:8" x14ac:dyDescent="0.2">
      <c r="A87" s="15" t="s">
        <v>32</v>
      </c>
      <c r="B87" s="16">
        <v>73</v>
      </c>
      <c r="C87" s="16">
        <v>71</v>
      </c>
      <c r="D87" s="16">
        <f t="shared" ref="D87:D91" si="39">AVERAGE(B87:C87)</f>
        <v>72</v>
      </c>
      <c r="E87" s="15">
        <v>1000</v>
      </c>
      <c r="F87" s="4">
        <f>1701.3-1684.8</f>
        <v>16.5</v>
      </c>
      <c r="G87" s="21">
        <f t="shared" ref="G87:G91" si="40">LOG10(D87*100*E87/F87*1000)</f>
        <v>8.6398485522173623</v>
      </c>
      <c r="H87" s="22"/>
    </row>
    <row r="88" spans="1:8" ht="17" x14ac:dyDescent="0.2">
      <c r="A88" s="26" t="s">
        <v>14</v>
      </c>
      <c r="B88" s="18">
        <v>79</v>
      </c>
      <c r="C88" s="18">
        <v>77</v>
      </c>
      <c r="D88" s="16">
        <f t="shared" si="39"/>
        <v>78</v>
      </c>
      <c r="E88" s="49">
        <v>1000</v>
      </c>
      <c r="F88" s="49">
        <f>1915.7-1889.1</f>
        <v>26.600000000000136</v>
      </c>
      <c r="G88" s="21">
        <f t="shared" si="40"/>
        <v>8.467212966059412</v>
      </c>
      <c r="H88" s="22"/>
    </row>
    <row r="89" spans="1:8" ht="17" x14ac:dyDescent="0.2">
      <c r="A89" s="26" t="s">
        <v>19</v>
      </c>
      <c r="B89" s="18">
        <v>9</v>
      </c>
      <c r="C89" s="18">
        <v>12</v>
      </c>
      <c r="D89" s="16">
        <f t="shared" si="39"/>
        <v>10.5</v>
      </c>
      <c r="E89" s="49">
        <v>1000</v>
      </c>
      <c r="F89" s="49">
        <f>1742.1-1714.9</f>
        <v>27.199999999999818</v>
      </c>
      <c r="G89" s="21">
        <f t="shared" si="40"/>
        <v>7.5866203950357427</v>
      </c>
      <c r="H89" s="22"/>
    </row>
    <row r="90" spans="1:8" ht="17" x14ac:dyDescent="0.2">
      <c r="A90" s="26" t="s">
        <v>43</v>
      </c>
      <c r="B90" s="18">
        <v>99</v>
      </c>
      <c r="C90" s="18">
        <v>86</v>
      </c>
      <c r="D90" s="16">
        <f t="shared" si="39"/>
        <v>92.5</v>
      </c>
      <c r="E90" s="49">
        <v>100</v>
      </c>
      <c r="F90" s="49">
        <f>1767.4-1736.1</f>
        <v>31.300000000000182</v>
      </c>
      <c r="G90" s="21">
        <f t="shared" si="40"/>
        <v>7.4705973951925815</v>
      </c>
      <c r="H90" s="22"/>
    </row>
    <row r="91" spans="1:8" ht="17" x14ac:dyDescent="0.2">
      <c r="A91" s="26" t="s">
        <v>18</v>
      </c>
      <c r="B91" s="18">
        <v>25</v>
      </c>
      <c r="C91" s="18">
        <v>27</v>
      </c>
      <c r="D91" s="16">
        <f t="shared" si="39"/>
        <v>26</v>
      </c>
      <c r="E91" s="49">
        <v>10</v>
      </c>
      <c r="F91" s="49">
        <f>1856.2-1803.3</f>
        <v>52.900000000000091</v>
      </c>
      <c r="G91" s="21">
        <f t="shared" si="40"/>
        <v>5.6915176759356312</v>
      </c>
      <c r="H91" s="22"/>
    </row>
    <row r="92" spans="1:8" x14ac:dyDescent="0.2">
      <c r="A92" s="15"/>
      <c r="E92" s="4"/>
      <c r="F92" s="4"/>
      <c r="G92" s="21"/>
      <c r="H92" s="22"/>
    </row>
    <row r="93" spans="1:8" ht="51" x14ac:dyDescent="0.2">
      <c r="A93" s="2" t="s">
        <v>39</v>
      </c>
      <c r="B93" s="69" t="s">
        <v>0</v>
      </c>
      <c r="C93" s="69"/>
      <c r="D93" s="49" t="s">
        <v>1</v>
      </c>
      <c r="E93" s="49" t="s">
        <v>4</v>
      </c>
      <c r="F93" s="49" t="s">
        <v>2</v>
      </c>
      <c r="G93" s="20" t="s">
        <v>3</v>
      </c>
      <c r="H93" s="22"/>
    </row>
    <row r="94" spans="1:8" x14ac:dyDescent="0.2">
      <c r="A94" s="15" t="s">
        <v>29</v>
      </c>
      <c r="B94">
        <v>26</v>
      </c>
      <c r="C94">
        <v>27</v>
      </c>
      <c r="D94">
        <f>AVERAGE(B94:C94)</f>
        <v>26.5</v>
      </c>
      <c r="E94" s="4">
        <v>100</v>
      </c>
      <c r="F94" s="4">
        <f>1733.9-1688</f>
        <v>45.900000000000091</v>
      </c>
      <c r="G94" s="21">
        <f>LOG10(D94*100*E94/F94*1000)</f>
        <v>6.761433188399546</v>
      </c>
      <c r="H94" s="22"/>
    </row>
    <row r="95" spans="1:8" x14ac:dyDescent="0.2">
      <c r="A95" s="15" t="s">
        <v>30</v>
      </c>
      <c r="B95" s="16">
        <v>51</v>
      </c>
      <c r="C95" s="16">
        <v>61</v>
      </c>
      <c r="D95" s="16">
        <f t="shared" ref="D95:D97" si="41">AVERAGE(B95:C95)</f>
        <v>56</v>
      </c>
      <c r="E95" s="15">
        <v>1000</v>
      </c>
      <c r="F95" s="15">
        <f>1842-1804.7</f>
        <v>37.299999999999955</v>
      </c>
      <c r="G95" s="21">
        <f>LOG10(D95*100*E95/F95*1000)</f>
        <v>8.1764791951975138</v>
      </c>
      <c r="H95" s="22"/>
    </row>
    <row r="96" spans="1:8" x14ac:dyDescent="0.2">
      <c r="A96" s="15" t="s">
        <v>16</v>
      </c>
      <c r="B96" s="16">
        <v>82</v>
      </c>
      <c r="C96" s="16">
        <v>84</v>
      </c>
      <c r="D96" s="16">
        <f t="shared" si="41"/>
        <v>83</v>
      </c>
      <c r="E96" s="15">
        <v>1000</v>
      </c>
      <c r="F96" s="15">
        <f>1734-1706.1</f>
        <v>27.900000000000091</v>
      </c>
      <c r="G96" s="21">
        <f t="shared" ref="G96:G97" si="42">LOG10(D96*100*E96/F96*1000)</f>
        <v>8.4734738891024755</v>
      </c>
      <c r="H96" s="22"/>
    </row>
    <row r="97" spans="1:8" x14ac:dyDescent="0.2">
      <c r="A97" s="15" t="s">
        <v>31</v>
      </c>
      <c r="B97" s="16">
        <v>78</v>
      </c>
      <c r="C97" s="16">
        <v>77</v>
      </c>
      <c r="D97" s="16">
        <f t="shared" si="41"/>
        <v>77.5</v>
      </c>
      <c r="E97" s="15">
        <v>1000</v>
      </c>
      <c r="F97" s="15">
        <f>1743.3-1709.5</f>
        <v>33.799999999999955</v>
      </c>
      <c r="G97" s="21">
        <f t="shared" si="42"/>
        <v>8.3603850022286554</v>
      </c>
      <c r="H97" s="22"/>
    </row>
    <row r="98" spans="1:8" ht="17" x14ac:dyDescent="0.2">
      <c r="A98" s="26" t="s">
        <v>17</v>
      </c>
      <c r="B98" s="17">
        <v>54</v>
      </c>
      <c r="C98" s="17">
        <v>47</v>
      </c>
      <c r="D98" s="16">
        <f>AVERAGE(B98:C98)</f>
        <v>50.5</v>
      </c>
      <c r="E98" s="26">
        <v>1000</v>
      </c>
      <c r="F98" s="26">
        <f>1726.4-1707</f>
        <v>19.400000000000091</v>
      </c>
      <c r="G98" s="21">
        <f>LOG10(D98*100*E98/F98*1000)</f>
        <v>8.4154896481884336</v>
      </c>
      <c r="H98" s="22"/>
    </row>
    <row r="99" spans="1:8" x14ac:dyDescent="0.2">
      <c r="A99" s="15" t="s">
        <v>32</v>
      </c>
      <c r="B99" s="16">
        <v>66</v>
      </c>
      <c r="C99" s="16">
        <v>59</v>
      </c>
      <c r="D99" s="16">
        <f t="shared" ref="D99:D103" si="43">AVERAGE(B99:C99)</f>
        <v>62.5</v>
      </c>
      <c r="E99" s="15">
        <v>1000</v>
      </c>
      <c r="F99" s="4">
        <f>1796.5-1775.4</f>
        <v>21.099999999999909</v>
      </c>
      <c r="G99" s="21">
        <f t="shared" ref="G99:G103" si="44">LOG10(D99*100*E99/F99*1000)</f>
        <v>8.4715975620463837</v>
      </c>
      <c r="H99" s="22"/>
    </row>
    <row r="100" spans="1:8" ht="17" x14ac:dyDescent="0.2">
      <c r="A100" s="26" t="s">
        <v>14</v>
      </c>
      <c r="B100" s="18">
        <v>7</v>
      </c>
      <c r="C100" s="18">
        <v>17</v>
      </c>
      <c r="D100" s="16">
        <f t="shared" si="43"/>
        <v>12</v>
      </c>
      <c r="E100" s="49">
        <v>10000</v>
      </c>
      <c r="F100" s="49">
        <f>1897.5-1859.9</f>
        <v>37.599999999999909</v>
      </c>
      <c r="G100" s="21">
        <f t="shared" si="44"/>
        <v>8.5039934011199652</v>
      </c>
      <c r="H100" s="20"/>
    </row>
    <row r="101" spans="1:8" ht="17" x14ac:dyDescent="0.2">
      <c r="A101" s="26" t="s">
        <v>19</v>
      </c>
      <c r="B101" s="18">
        <v>12</v>
      </c>
      <c r="C101" s="18">
        <v>10</v>
      </c>
      <c r="D101" s="16">
        <f t="shared" si="43"/>
        <v>11</v>
      </c>
      <c r="E101" s="49">
        <v>1000</v>
      </c>
      <c r="F101" s="49">
        <f>1651.2-1605.1</f>
        <v>46.100000000000136</v>
      </c>
      <c r="G101" s="21">
        <f t="shared" si="44"/>
        <v>7.3776917597685756</v>
      </c>
      <c r="H101" s="20"/>
    </row>
    <row r="102" spans="1:8" ht="17" x14ac:dyDescent="0.2">
      <c r="A102" s="26" t="s">
        <v>43</v>
      </c>
      <c r="B102" s="18">
        <v>53</v>
      </c>
      <c r="C102" s="18">
        <v>46</v>
      </c>
      <c r="D102" s="16">
        <f t="shared" si="43"/>
        <v>49.5</v>
      </c>
      <c r="E102" s="49">
        <v>10</v>
      </c>
      <c r="F102" s="49">
        <f>1754.6-1725.3</f>
        <v>29.299999999999955</v>
      </c>
      <c r="G102" s="21">
        <f t="shared" si="44"/>
        <v>6.2277375785794602</v>
      </c>
      <c r="H102" s="20"/>
    </row>
    <row r="103" spans="1:8" ht="17" x14ac:dyDescent="0.2">
      <c r="A103" s="26" t="s">
        <v>18</v>
      </c>
      <c r="B103" s="18">
        <v>9</v>
      </c>
      <c r="C103" s="18">
        <v>10</v>
      </c>
      <c r="D103" s="16">
        <f t="shared" si="43"/>
        <v>9.5</v>
      </c>
      <c r="E103" s="49">
        <v>100</v>
      </c>
      <c r="F103" s="49">
        <f>1899.5-1810.3</f>
        <v>89.200000000000045</v>
      </c>
      <c r="G103" s="21">
        <f t="shared" si="44"/>
        <v>6.0273587509127244</v>
      </c>
      <c r="H103" s="20"/>
    </row>
    <row r="104" spans="1:8" x14ac:dyDescent="0.2">
      <c r="A104" s="15"/>
      <c r="B104" s="16"/>
      <c r="C104" s="16"/>
      <c r="D104" s="16"/>
      <c r="E104" s="15"/>
      <c r="F104" s="15"/>
      <c r="G104" s="21"/>
      <c r="H104" s="22"/>
    </row>
    <row r="105" spans="1:8" ht="51" x14ac:dyDescent="0.2">
      <c r="A105" s="28" t="s">
        <v>40</v>
      </c>
      <c r="B105" s="70" t="s">
        <v>0</v>
      </c>
      <c r="C105" s="70"/>
      <c r="D105" s="57" t="s">
        <v>1</v>
      </c>
      <c r="E105" s="57" t="s">
        <v>4</v>
      </c>
      <c r="F105" s="57" t="s">
        <v>2</v>
      </c>
      <c r="G105" s="58" t="s">
        <v>3</v>
      </c>
      <c r="H105" s="22"/>
    </row>
    <row r="106" spans="1:8" x14ac:dyDescent="0.2">
      <c r="A106" s="29" t="s">
        <v>29</v>
      </c>
      <c r="B106" s="30">
        <v>51</v>
      </c>
      <c r="C106" s="30">
        <v>60</v>
      </c>
      <c r="D106">
        <f>AVERAGE(B106:C106)</f>
        <v>55.5</v>
      </c>
      <c r="E106" s="29">
        <v>1000</v>
      </c>
      <c r="F106" s="29">
        <f>1754.3-1690.2</f>
        <v>64.099999999999909</v>
      </c>
      <c r="G106" s="21">
        <f>LOG10(D106*100*E106/F106*1000)</f>
        <v>7.9374349536038595</v>
      </c>
      <c r="H106" s="22"/>
    </row>
    <row r="107" spans="1:8" x14ac:dyDescent="0.2">
      <c r="A107" s="29" t="s">
        <v>30</v>
      </c>
      <c r="B107" s="30">
        <v>51</v>
      </c>
      <c r="C107" s="30">
        <v>61</v>
      </c>
      <c r="D107" s="16">
        <f t="shared" ref="D107:D109" si="45">AVERAGE(B107:C107)</f>
        <v>56</v>
      </c>
      <c r="E107" s="29">
        <v>1000</v>
      </c>
      <c r="F107" s="29">
        <f>1791.8-1721</f>
        <v>70.799999999999955</v>
      </c>
      <c r="G107" s="21">
        <f>LOG10(D107*100*E107/F107*1000)</f>
        <v>7.8981547693164318</v>
      </c>
      <c r="H107" s="22"/>
    </row>
    <row r="108" spans="1:8" x14ac:dyDescent="0.2">
      <c r="A108" s="29" t="s">
        <v>16</v>
      </c>
      <c r="B108" s="30">
        <v>82</v>
      </c>
      <c r="C108" s="30">
        <v>84</v>
      </c>
      <c r="D108" s="16">
        <f t="shared" si="45"/>
        <v>83</v>
      </c>
      <c r="E108" s="29">
        <v>1000</v>
      </c>
      <c r="F108" s="29">
        <f>1741.7-1697.5</f>
        <v>44.200000000000045</v>
      </c>
      <c r="G108" s="21">
        <f t="shared" ref="G108:G109" si="46">LOG10(D108*100*E108/F108*1000)</f>
        <v>8.2736558230269814</v>
      </c>
      <c r="H108" s="22"/>
    </row>
    <row r="109" spans="1:8" x14ac:dyDescent="0.2">
      <c r="A109" s="29" t="s">
        <v>31</v>
      </c>
      <c r="B109" s="30">
        <v>105</v>
      </c>
      <c r="C109" s="30">
        <v>32</v>
      </c>
      <c r="D109" s="16">
        <f t="shared" si="45"/>
        <v>68.5</v>
      </c>
      <c r="E109" s="29">
        <v>1000</v>
      </c>
      <c r="F109" s="29">
        <f>1703.3-1679.6</f>
        <v>23.700000000000045</v>
      </c>
      <c r="G109" s="21">
        <f t="shared" si="46"/>
        <v>8.4609422254823201</v>
      </c>
      <c r="H109" s="22"/>
    </row>
    <row r="110" spans="1:8" ht="17" x14ac:dyDescent="0.2">
      <c r="A110" s="57" t="s">
        <v>17</v>
      </c>
      <c r="B110" s="59">
        <v>53</v>
      </c>
      <c r="C110" s="59">
        <v>56</v>
      </c>
      <c r="D110" s="16">
        <f>AVERAGE(B110:C110)</f>
        <v>54.5</v>
      </c>
      <c r="E110" s="57">
        <v>1000</v>
      </c>
      <c r="F110" s="57">
        <f>1725-1677</f>
        <v>48</v>
      </c>
      <c r="G110" s="21">
        <f>LOG10(D110*100*E110/F110*1000)</f>
        <v>8.0551552649010549</v>
      </c>
      <c r="H110" s="22"/>
    </row>
    <row r="111" spans="1:8" x14ac:dyDescent="0.2">
      <c r="A111" s="29" t="s">
        <v>32</v>
      </c>
      <c r="B111" s="30">
        <v>35</v>
      </c>
      <c r="C111" s="30">
        <v>38</v>
      </c>
      <c r="D111" s="16">
        <f t="shared" ref="D111:D115" si="47">AVERAGE(B111:C111)</f>
        <v>36.5</v>
      </c>
      <c r="E111" s="29">
        <v>1000</v>
      </c>
      <c r="F111" s="29">
        <f>1750.6-1692.6</f>
        <v>58</v>
      </c>
      <c r="G111" s="21">
        <f t="shared" ref="G111:G115" si="48">LOG10(D111*100*E111/F111*1000)</f>
        <v>7.7988648708935377</v>
      </c>
      <c r="H111" s="22"/>
    </row>
    <row r="112" spans="1:8" ht="17" x14ac:dyDescent="0.2">
      <c r="A112" s="57" t="s">
        <v>14</v>
      </c>
      <c r="B112" s="59">
        <v>30</v>
      </c>
      <c r="C112" s="59">
        <v>23</v>
      </c>
      <c r="D112" s="16">
        <f t="shared" si="47"/>
        <v>26.5</v>
      </c>
      <c r="E112" s="57">
        <v>100</v>
      </c>
      <c r="F112" s="57">
        <f>1822.2-1804.7</f>
        <v>17.5</v>
      </c>
      <c r="G112" s="21">
        <f t="shared" si="48"/>
        <v>7.1802078252505135</v>
      </c>
      <c r="H112" s="22"/>
    </row>
    <row r="113" spans="1:8" ht="17" x14ac:dyDescent="0.2">
      <c r="A113" s="26" t="s">
        <v>19</v>
      </c>
      <c r="B113" s="18">
        <v>6</v>
      </c>
      <c r="C113" s="18">
        <v>7</v>
      </c>
      <c r="D113" s="16">
        <f t="shared" si="47"/>
        <v>6.5</v>
      </c>
      <c r="E113" s="49">
        <v>1000</v>
      </c>
      <c r="F113" s="49">
        <f>1854.5-1779.4</f>
        <v>75.099999999999909</v>
      </c>
      <c r="G113" s="21">
        <f t="shared" si="48"/>
        <v>6.9372734196386876</v>
      </c>
      <c r="H113" s="22"/>
    </row>
    <row r="114" spans="1:8" ht="17" x14ac:dyDescent="0.2">
      <c r="A114" s="26" t="s">
        <v>43</v>
      </c>
      <c r="B114" s="18">
        <v>5</v>
      </c>
      <c r="C114" s="18">
        <v>8</v>
      </c>
      <c r="D114" s="16">
        <f t="shared" si="47"/>
        <v>6.5</v>
      </c>
      <c r="E114" s="49">
        <v>10</v>
      </c>
      <c r="F114" s="49">
        <f>1680.9-1654.2</f>
        <v>26.700000000000045</v>
      </c>
      <c r="G114" s="21">
        <f t="shared" si="48"/>
        <v>5.3864020952782798</v>
      </c>
      <c r="H114" s="22"/>
    </row>
    <row r="115" spans="1:8" ht="17" x14ac:dyDescent="0.2">
      <c r="A115" s="26" t="s">
        <v>18</v>
      </c>
      <c r="B115" s="18">
        <v>27</v>
      </c>
      <c r="C115" s="18">
        <v>31</v>
      </c>
      <c r="D115" s="16">
        <f t="shared" si="47"/>
        <v>29</v>
      </c>
      <c r="E115" s="49">
        <v>100</v>
      </c>
      <c r="F115" s="49">
        <f>1795.3-1663.1</f>
        <v>132.20000000000005</v>
      </c>
      <c r="G115" s="21">
        <f t="shared" si="48"/>
        <v>6.3411665427493347</v>
      </c>
      <c r="H115" s="22"/>
    </row>
    <row r="116" spans="1:8" x14ac:dyDescent="0.2">
      <c r="A116" s="26"/>
      <c r="B116" s="17"/>
      <c r="C116" s="17"/>
      <c r="D116" s="16"/>
      <c r="E116" s="26"/>
      <c r="F116" s="26"/>
      <c r="G116" s="21"/>
      <c r="H116" s="22"/>
    </row>
    <row r="117" spans="1:8" ht="51" x14ac:dyDescent="0.2">
      <c r="A117" s="28" t="s">
        <v>41</v>
      </c>
      <c r="B117" s="70" t="s">
        <v>0</v>
      </c>
      <c r="C117" s="70"/>
      <c r="D117" s="57" t="s">
        <v>1</v>
      </c>
      <c r="E117" s="57" t="s">
        <v>4</v>
      </c>
      <c r="F117" s="57" t="s">
        <v>2</v>
      </c>
      <c r="G117" s="58" t="s">
        <v>3</v>
      </c>
      <c r="H117" s="22"/>
    </row>
    <row r="118" spans="1:8" x14ac:dyDescent="0.2">
      <c r="A118" s="29" t="s">
        <v>29</v>
      </c>
      <c r="B118" s="30">
        <v>4</v>
      </c>
      <c r="C118" s="30">
        <v>4</v>
      </c>
      <c r="D118">
        <f>AVERAGE(B118:C118)</f>
        <v>4</v>
      </c>
      <c r="E118" s="29">
        <v>1000</v>
      </c>
      <c r="F118" s="29">
        <f>1786-1771</f>
        <v>15</v>
      </c>
      <c r="G118" s="21">
        <f>LOG10(D118*100*E118/F118*1000)</f>
        <v>7.4259687322722812</v>
      </c>
      <c r="H118" s="22"/>
    </row>
    <row r="119" spans="1:8" x14ac:dyDescent="0.2">
      <c r="A119" s="29" t="s">
        <v>30</v>
      </c>
      <c r="B119" s="30">
        <v>25</v>
      </c>
      <c r="C119" s="30">
        <v>20</v>
      </c>
      <c r="D119" s="16">
        <f t="shared" ref="D119:D121" si="49">AVERAGE(B119:C119)</f>
        <v>22.5</v>
      </c>
      <c r="E119" s="29">
        <v>1000</v>
      </c>
      <c r="F119" s="29">
        <f>1921.1-1850.6</f>
        <v>70.5</v>
      </c>
      <c r="G119" s="21">
        <f>LOG10(D119*100*E119/F119*1000)</f>
        <v>7.5039934011199634</v>
      </c>
      <c r="H119" s="22"/>
    </row>
    <row r="120" spans="1:8" x14ac:dyDescent="0.2">
      <c r="A120" s="29" t="s">
        <v>16</v>
      </c>
      <c r="B120" s="30">
        <v>25</v>
      </c>
      <c r="C120" s="30">
        <v>31</v>
      </c>
      <c r="D120" s="16">
        <f t="shared" si="49"/>
        <v>28</v>
      </c>
      <c r="E120" s="29">
        <v>1000</v>
      </c>
      <c r="F120" s="29">
        <f>1740.6-1719.3</f>
        <v>21.299999999999955</v>
      </c>
      <c r="G120" s="21">
        <f t="shared" ref="G120:G121" si="50">LOG10(D120*100*E120/F120*1000)</f>
        <v>8.1187784279034823</v>
      </c>
      <c r="H120" s="22"/>
    </row>
    <row r="121" spans="1:8" x14ac:dyDescent="0.2">
      <c r="A121" s="29" t="s">
        <v>31</v>
      </c>
      <c r="B121" s="30">
        <v>25</v>
      </c>
      <c r="C121" s="30">
        <v>25</v>
      </c>
      <c r="D121" s="16">
        <f t="shared" si="49"/>
        <v>25</v>
      </c>
      <c r="E121" s="29">
        <v>1000</v>
      </c>
      <c r="F121" s="29">
        <f>1703.3-1679.5</f>
        <v>23.799999999999955</v>
      </c>
      <c r="G121" s="21">
        <f t="shared" si="50"/>
        <v>8.021363051615527</v>
      </c>
      <c r="H121" s="22"/>
    </row>
    <row r="122" spans="1:8" ht="17" x14ac:dyDescent="0.2">
      <c r="A122" s="57" t="s">
        <v>17</v>
      </c>
      <c r="B122" s="59">
        <v>84</v>
      </c>
      <c r="C122" s="59">
        <v>82</v>
      </c>
      <c r="D122" s="16">
        <f>AVERAGE(B122:C122)</f>
        <v>83</v>
      </c>
      <c r="E122" s="57">
        <v>1000</v>
      </c>
      <c r="F122" s="57">
        <f>1656.2-1627.5</f>
        <v>28.700000000000045</v>
      </c>
      <c r="G122" s="21">
        <f>LOG10(D122*100*E122/F122*1000)</f>
        <v>8.4611961956420814</v>
      </c>
      <c r="H122" s="22"/>
    </row>
    <row r="123" spans="1:8" x14ac:dyDescent="0.2">
      <c r="A123" s="29" t="s">
        <v>32</v>
      </c>
      <c r="B123" s="30">
        <v>200</v>
      </c>
      <c r="C123" s="30"/>
      <c r="D123" s="16">
        <f t="shared" ref="D123:D127" si="51">AVERAGE(B123:C123)</f>
        <v>200</v>
      </c>
      <c r="E123" s="29">
        <v>1000</v>
      </c>
      <c r="F123" s="29">
        <f>1907.3-1838.9</f>
        <v>68.399999999999864</v>
      </c>
      <c r="G123" s="21">
        <f t="shared" ref="G123:G127" si="52">LOG10(D123*100*E123/F123*1000)</f>
        <v>8.4659738939438665</v>
      </c>
      <c r="H123" s="22"/>
    </row>
    <row r="124" spans="1:8" ht="17" x14ac:dyDescent="0.2">
      <c r="A124" s="57" t="s">
        <v>14</v>
      </c>
      <c r="B124" s="59">
        <v>87</v>
      </c>
      <c r="C124" s="59">
        <v>92</v>
      </c>
      <c r="D124" s="16">
        <f t="shared" si="51"/>
        <v>89.5</v>
      </c>
      <c r="E124" s="57">
        <v>1000</v>
      </c>
      <c r="F124" s="57">
        <f>1694.6-1639.9</f>
        <v>54.699999999999818</v>
      </c>
      <c r="G124" s="21">
        <f t="shared" si="52"/>
        <v>8.2138357089824829</v>
      </c>
      <c r="H124" s="22"/>
    </row>
    <row r="125" spans="1:8" ht="17" x14ac:dyDescent="0.2">
      <c r="A125" s="26" t="s">
        <v>19</v>
      </c>
      <c r="B125" s="18">
        <v>77</v>
      </c>
      <c r="C125" s="18">
        <v>83</v>
      </c>
      <c r="D125" s="16">
        <f t="shared" si="51"/>
        <v>80</v>
      </c>
      <c r="E125" s="49">
        <v>100</v>
      </c>
      <c r="F125" s="49">
        <f>1762-1728.7</f>
        <v>33.299999999999955</v>
      </c>
      <c r="G125" s="21">
        <f t="shared" si="52"/>
        <v>7.3806457534856245</v>
      </c>
      <c r="H125" s="22"/>
    </row>
    <row r="126" spans="1:8" ht="17" x14ac:dyDescent="0.2">
      <c r="A126" s="26" t="s">
        <v>43</v>
      </c>
      <c r="B126" s="18">
        <v>92</v>
      </c>
      <c r="C126" s="18">
        <v>88</v>
      </c>
      <c r="D126" s="16">
        <f t="shared" si="51"/>
        <v>90</v>
      </c>
      <c r="E126" s="49">
        <v>10</v>
      </c>
      <c r="F126" s="49">
        <f>1708-1670</f>
        <v>38</v>
      </c>
      <c r="G126" s="21">
        <f t="shared" si="52"/>
        <v>6.3744589128225151</v>
      </c>
      <c r="H126" s="22"/>
    </row>
    <row r="127" spans="1:8" ht="17" x14ac:dyDescent="0.2">
      <c r="A127" s="26" t="s">
        <v>18</v>
      </c>
      <c r="B127" s="18">
        <v>27</v>
      </c>
      <c r="C127" s="18">
        <v>31</v>
      </c>
      <c r="D127" s="16">
        <f t="shared" si="51"/>
        <v>29</v>
      </c>
      <c r="E127" s="49">
        <v>10</v>
      </c>
      <c r="F127" s="49">
        <f>1894.2-1809.2</f>
        <v>85</v>
      </c>
      <c r="G127" s="21">
        <f t="shared" si="52"/>
        <v>5.5329790721846637</v>
      </c>
      <c r="H127" s="22"/>
    </row>
    <row r="128" spans="1:8" x14ac:dyDescent="0.2">
      <c r="A128" s="2"/>
      <c r="B128" s="69"/>
      <c r="C128" s="69"/>
      <c r="D128" s="49"/>
      <c r="E128" s="49"/>
      <c r="F128" s="49"/>
      <c r="G128" s="20"/>
      <c r="H128" s="22"/>
    </row>
    <row r="129" spans="1:8" ht="51" x14ac:dyDescent="0.2">
      <c r="A129" s="28" t="s">
        <v>42</v>
      </c>
      <c r="B129" s="70" t="s">
        <v>0</v>
      </c>
      <c r="C129" s="70"/>
      <c r="D129" s="57" t="s">
        <v>1</v>
      </c>
      <c r="E129" s="57" t="s">
        <v>4</v>
      </c>
      <c r="F129" s="57" t="s">
        <v>2</v>
      </c>
      <c r="G129" s="58" t="s">
        <v>3</v>
      </c>
      <c r="H129" s="22"/>
    </row>
    <row r="130" spans="1:8" x14ac:dyDescent="0.2">
      <c r="A130" s="29" t="s">
        <v>29</v>
      </c>
      <c r="B130" s="30">
        <v>20</v>
      </c>
      <c r="C130" s="30">
        <v>32</v>
      </c>
      <c r="D130">
        <f>AVERAGE(B130:C130)</f>
        <v>26</v>
      </c>
      <c r="E130" s="29">
        <v>1000</v>
      </c>
      <c r="F130" s="29">
        <f>1754.2-1723.2</f>
        <v>31</v>
      </c>
      <c r="G130" s="21">
        <f>LOG10(D130*100*E130/F130*1000)</f>
        <v>7.9236116541365451</v>
      </c>
      <c r="H130" s="22"/>
    </row>
    <row r="131" spans="1:8" x14ac:dyDescent="0.2">
      <c r="A131" s="29" t="s">
        <v>30</v>
      </c>
      <c r="B131" s="30">
        <v>15</v>
      </c>
      <c r="C131" s="30">
        <v>27</v>
      </c>
      <c r="D131" s="16">
        <f t="shared" ref="D131:D133" si="53">AVERAGE(B131:C131)</f>
        <v>21</v>
      </c>
      <c r="E131" s="29">
        <v>1000</v>
      </c>
      <c r="F131" s="29">
        <f>1805.1-1778.9</f>
        <v>26.199999999999818</v>
      </c>
      <c r="G131" s="21">
        <f>LOG10(D131*100*E131/F131*1000)</f>
        <v>7.9039180034141765</v>
      </c>
      <c r="H131" s="22"/>
    </row>
    <row r="132" spans="1:8" x14ac:dyDescent="0.2">
      <c r="A132" s="29" t="s">
        <v>16</v>
      </c>
      <c r="B132" s="30">
        <v>73</v>
      </c>
      <c r="C132" s="30">
        <v>64</v>
      </c>
      <c r="D132" s="16">
        <f t="shared" si="53"/>
        <v>68.5</v>
      </c>
      <c r="E132" s="29">
        <v>1000</v>
      </c>
      <c r="F132" s="29">
        <f>1821-1795.3</f>
        <v>25.700000000000045</v>
      </c>
      <c r="G132" s="21">
        <f t="shared" ref="G132:G133" si="54">LOG10(D132*100*E132/F132*1000)</f>
        <v>8.4257574481611304</v>
      </c>
      <c r="H132" s="22"/>
    </row>
    <row r="133" spans="1:8" x14ac:dyDescent="0.2">
      <c r="A133" s="29" t="s">
        <v>31</v>
      </c>
      <c r="B133" s="30">
        <v>15</v>
      </c>
      <c r="C133" s="30">
        <v>18</v>
      </c>
      <c r="D133" s="16">
        <f t="shared" si="53"/>
        <v>16.5</v>
      </c>
      <c r="E133" s="29">
        <v>1000</v>
      </c>
      <c r="F133" s="29">
        <f>1788.5-1774.5</f>
        <v>14</v>
      </c>
      <c r="G133" s="21">
        <f t="shared" si="54"/>
        <v>8.0713559085356685</v>
      </c>
      <c r="H133" s="22"/>
    </row>
    <row r="134" spans="1:8" ht="17" x14ac:dyDescent="0.2">
      <c r="A134" s="57" t="s">
        <v>17</v>
      </c>
      <c r="B134" s="59">
        <v>58</v>
      </c>
      <c r="C134" s="59">
        <v>47</v>
      </c>
      <c r="D134" s="16">
        <f>AVERAGE(B134:C134)</f>
        <v>52.5</v>
      </c>
      <c r="E134" s="57">
        <v>1000</v>
      </c>
      <c r="F134" s="57">
        <f>1741.3-1720.8</f>
        <v>20.5</v>
      </c>
      <c r="G134" s="21">
        <f>LOG10(D134*100*E134/F134*1000)</f>
        <v>8.4084054423502028</v>
      </c>
      <c r="H134" s="22"/>
    </row>
    <row r="135" spans="1:8" x14ac:dyDescent="0.2">
      <c r="A135" s="29" t="s">
        <v>32</v>
      </c>
      <c r="B135" s="30">
        <v>21</v>
      </c>
      <c r="C135" s="30">
        <v>27</v>
      </c>
      <c r="D135" s="16">
        <f t="shared" ref="D135:D139" si="55">AVERAGE(B135:C135)</f>
        <v>24</v>
      </c>
      <c r="E135" s="29">
        <v>1000</v>
      </c>
      <c r="F135" s="29">
        <f>1800.3-1773.9</f>
        <v>26.399999999999864</v>
      </c>
      <c r="G135" s="21">
        <f t="shared" ref="G135:G139" si="56">LOG10(D135*100*E135/F135*1000)</f>
        <v>7.9586073148417773</v>
      </c>
      <c r="H135" s="22"/>
    </row>
    <row r="136" spans="1:8" ht="17" x14ac:dyDescent="0.2">
      <c r="A136" s="57" t="s">
        <v>14</v>
      </c>
      <c r="B136" s="59">
        <v>27</v>
      </c>
      <c r="C136" s="59">
        <v>38</v>
      </c>
      <c r="D136" s="16">
        <f t="shared" si="55"/>
        <v>32.5</v>
      </c>
      <c r="E136" s="57">
        <v>1000</v>
      </c>
      <c r="F136" s="57">
        <f>1865-1835.9</f>
        <v>29.099999999999909</v>
      </c>
      <c r="G136" s="21">
        <f t="shared" si="56"/>
        <v>8.0479903719929684</v>
      </c>
      <c r="H136" s="22"/>
    </row>
    <row r="137" spans="1:8" ht="17" x14ac:dyDescent="0.2">
      <c r="A137" s="26" t="s">
        <v>19</v>
      </c>
      <c r="B137" s="18">
        <v>9</v>
      </c>
      <c r="C137" s="18">
        <v>4</v>
      </c>
      <c r="D137" s="16">
        <f t="shared" si="55"/>
        <v>6.5</v>
      </c>
      <c r="E137" s="49">
        <v>100</v>
      </c>
      <c r="F137" s="49">
        <f>1779.5-1757.8</f>
        <v>21.700000000000045</v>
      </c>
      <c r="G137" s="21">
        <f t="shared" si="56"/>
        <v>6.4764536227943248</v>
      </c>
      <c r="H137" s="22"/>
    </row>
    <row r="138" spans="1:8" ht="17" x14ac:dyDescent="0.2">
      <c r="A138" s="26" t="s">
        <v>43</v>
      </c>
      <c r="B138" s="18">
        <v>40</v>
      </c>
      <c r="C138" s="18">
        <v>42</v>
      </c>
      <c r="D138" s="16">
        <f t="shared" si="55"/>
        <v>41</v>
      </c>
      <c r="E138" s="49">
        <v>1</v>
      </c>
      <c r="F138" s="49">
        <f>1826-1810.7</f>
        <v>15.299999999999955</v>
      </c>
      <c r="G138" s="21">
        <f t="shared" si="56"/>
        <v>5.4280924259021379</v>
      </c>
      <c r="H138" s="22"/>
    </row>
    <row r="139" spans="1:8" ht="17" x14ac:dyDescent="0.2">
      <c r="A139" s="26" t="s">
        <v>18</v>
      </c>
      <c r="B139" s="18">
        <v>16</v>
      </c>
      <c r="C139" s="18">
        <v>16</v>
      </c>
      <c r="D139" s="16">
        <f t="shared" si="55"/>
        <v>16</v>
      </c>
      <c r="E139" s="49">
        <v>1</v>
      </c>
      <c r="F139" s="49">
        <f>1795.2-1702.6</f>
        <v>92.600000000000136</v>
      </c>
      <c r="G139" s="21">
        <f t="shared" si="56"/>
        <v>4.2375089959739896</v>
      </c>
      <c r="H139" s="22"/>
    </row>
    <row r="140" spans="1:8" x14ac:dyDescent="0.2">
      <c r="A140" s="15"/>
      <c r="E140" s="4"/>
      <c r="F140" s="4"/>
      <c r="G140" s="21"/>
      <c r="H140" s="22"/>
    </row>
    <row r="141" spans="1:8" ht="51" x14ac:dyDescent="0.2">
      <c r="A141" s="2" t="s">
        <v>44</v>
      </c>
      <c r="B141" s="69" t="s">
        <v>0</v>
      </c>
      <c r="C141" s="69"/>
      <c r="D141" s="49" t="s">
        <v>1</v>
      </c>
      <c r="E141" s="49" t="s">
        <v>4</v>
      </c>
      <c r="F141" s="49" t="s">
        <v>2</v>
      </c>
      <c r="G141" s="20" t="s">
        <v>3</v>
      </c>
      <c r="H141" s="22"/>
    </row>
    <row r="142" spans="1:8" ht="20" customHeight="1" x14ac:dyDescent="0.2">
      <c r="A142" s="15" t="s">
        <v>29</v>
      </c>
      <c r="B142">
        <v>3</v>
      </c>
      <c r="C142">
        <v>2</v>
      </c>
      <c r="D142">
        <f>AVERAGE(B142:C142)</f>
        <v>2.5</v>
      </c>
      <c r="E142" s="4">
        <v>1</v>
      </c>
      <c r="F142" s="4">
        <f>1839.4-1789.9</f>
        <v>49.5</v>
      </c>
      <c r="G142" s="21">
        <f>LOG10(D142*100*E142/F142*1000)</f>
        <v>3.7033348097384691</v>
      </c>
      <c r="H142" s="20"/>
    </row>
    <row r="143" spans="1:8" x14ac:dyDescent="0.2">
      <c r="A143" s="15" t="s">
        <v>30</v>
      </c>
      <c r="B143" s="16">
        <v>0</v>
      </c>
      <c r="C143" s="16">
        <v>1</v>
      </c>
      <c r="D143" s="16">
        <f t="shared" ref="D143:D145" si="57">AVERAGE(B143:C143)</f>
        <v>0.5</v>
      </c>
      <c r="E143" s="15">
        <v>1</v>
      </c>
      <c r="F143" s="15">
        <f>1765.7-1739.7</f>
        <v>26</v>
      </c>
      <c r="G143" s="21">
        <f>LOG10(D143*100*E143/F143*1000)</f>
        <v>3.283996656365201</v>
      </c>
      <c r="H143" s="22"/>
    </row>
    <row r="144" spans="1:8" x14ac:dyDescent="0.2">
      <c r="A144" s="15" t="s">
        <v>16</v>
      </c>
      <c r="B144" s="16">
        <v>0</v>
      </c>
      <c r="C144" s="16">
        <v>0</v>
      </c>
      <c r="D144" s="16">
        <f t="shared" si="57"/>
        <v>0</v>
      </c>
      <c r="E144" s="15">
        <v>1</v>
      </c>
      <c r="F144" s="15">
        <f>1749-1708.1</f>
        <v>40.900000000000091</v>
      </c>
      <c r="G144" s="21" t="e">
        <f t="shared" ref="G144:G145" si="58">LOG10(D144*100*E144/F144*1000)</f>
        <v>#NUM!</v>
      </c>
      <c r="H144" s="22"/>
    </row>
    <row r="145" spans="1:8" x14ac:dyDescent="0.2">
      <c r="A145" s="15" t="s">
        <v>31</v>
      </c>
      <c r="B145" s="16">
        <v>11</v>
      </c>
      <c r="C145" s="16">
        <v>7</v>
      </c>
      <c r="D145" s="16">
        <f t="shared" si="57"/>
        <v>9</v>
      </c>
      <c r="E145" s="15">
        <v>1</v>
      </c>
      <c r="F145" s="15">
        <f>1846.8-1819.2</f>
        <v>27.599999999999909</v>
      </c>
      <c r="G145" s="21">
        <f t="shared" si="58"/>
        <v>4.5133334273741088</v>
      </c>
      <c r="H145" s="22"/>
    </row>
    <row r="146" spans="1:8" ht="17" x14ac:dyDescent="0.2">
      <c r="A146" s="26" t="s">
        <v>17</v>
      </c>
      <c r="B146" s="17">
        <v>25</v>
      </c>
      <c r="C146" s="17">
        <v>22</v>
      </c>
      <c r="D146" s="16">
        <f>AVERAGE(B146:C146)</f>
        <v>23.5</v>
      </c>
      <c r="E146" s="26">
        <v>10</v>
      </c>
      <c r="F146" s="26">
        <f>1800.5-1768.6</f>
        <v>31.900000000000091</v>
      </c>
      <c r="G146" s="21">
        <f>LOG10(D146*100*E146/F146*1000)</f>
        <v>5.8672771792145539</v>
      </c>
      <c r="H146" s="22"/>
    </row>
    <row r="147" spans="1:8" x14ac:dyDescent="0.2">
      <c r="A147" s="15" t="s">
        <v>32</v>
      </c>
      <c r="B147" s="16">
        <v>42</v>
      </c>
      <c r="C147" s="16">
        <v>27</v>
      </c>
      <c r="D147" s="16">
        <f t="shared" ref="D147:D151" si="59">AVERAGE(B147:C147)</f>
        <v>34.5</v>
      </c>
      <c r="E147" s="15">
        <v>1</v>
      </c>
      <c r="F147" s="4">
        <f>1755.9-1742.5</f>
        <v>13.400000000000091</v>
      </c>
      <c r="G147" s="21">
        <f t="shared" ref="G147:G151" si="60">LOG10(D147*100*E147/F147*1000)</f>
        <v>5.4107142967084636</v>
      </c>
      <c r="H147" s="22"/>
    </row>
    <row r="148" spans="1:8" ht="17" x14ac:dyDescent="0.2">
      <c r="A148" s="26" t="s">
        <v>14</v>
      </c>
      <c r="B148" s="18">
        <v>19</v>
      </c>
      <c r="C148" s="18">
        <v>15</v>
      </c>
      <c r="D148" s="16">
        <f t="shared" si="59"/>
        <v>17</v>
      </c>
      <c r="E148" s="49">
        <v>1</v>
      </c>
      <c r="F148" s="49">
        <f>1648.1-1633.8</f>
        <v>14.299999999999955</v>
      </c>
      <c r="G148" s="21">
        <f t="shared" si="60"/>
        <v>5.0751128839132136</v>
      </c>
      <c r="H148" s="22"/>
    </row>
    <row r="149" spans="1:8" ht="17" x14ac:dyDescent="0.2">
      <c r="A149" s="26" t="s">
        <v>19</v>
      </c>
      <c r="B149" s="18">
        <v>13</v>
      </c>
      <c r="C149" s="18">
        <v>21</v>
      </c>
      <c r="D149" s="16">
        <f t="shared" si="59"/>
        <v>17</v>
      </c>
      <c r="E149" s="49">
        <v>10</v>
      </c>
      <c r="F149" s="49">
        <f>1741-1697.5</f>
        <v>43.5</v>
      </c>
      <c r="G149" s="21">
        <f t="shared" si="60"/>
        <v>5.5919596644236362</v>
      </c>
      <c r="H149" s="22"/>
    </row>
    <row r="150" spans="1:8" ht="17" x14ac:dyDescent="0.2">
      <c r="A150" s="26" t="s">
        <v>43</v>
      </c>
      <c r="B150" s="18">
        <v>29</v>
      </c>
      <c r="C150" s="18">
        <v>32</v>
      </c>
      <c r="D150" s="16">
        <f t="shared" si="59"/>
        <v>30.5</v>
      </c>
      <c r="E150" s="49">
        <v>10</v>
      </c>
      <c r="F150" s="49">
        <f>1860-1720.5</f>
        <v>139.5</v>
      </c>
      <c r="G150" s="21">
        <f t="shared" si="60"/>
        <v>5.3397256317371697</v>
      </c>
      <c r="H150" s="22"/>
    </row>
    <row r="151" spans="1:8" ht="17" x14ac:dyDescent="0.2">
      <c r="A151" s="26" t="s">
        <v>18</v>
      </c>
      <c r="B151" s="18">
        <v>79</v>
      </c>
      <c r="C151" s="18">
        <v>69</v>
      </c>
      <c r="D151" s="16">
        <f>AVERAGE(B151:C151)</f>
        <v>74</v>
      </c>
      <c r="E151" s="49">
        <v>10</v>
      </c>
      <c r="F151" s="49">
        <f>1799-1720.2</f>
        <v>78.799999999999955</v>
      </c>
      <c r="G151" s="21">
        <f t="shared" si="60"/>
        <v>5.9727055022414213</v>
      </c>
      <c r="H151" s="22"/>
    </row>
    <row r="152" spans="1:8" x14ac:dyDescent="0.2">
      <c r="A152" s="15"/>
      <c r="E152" s="4"/>
      <c r="F152" s="4"/>
      <c r="G152" s="21"/>
      <c r="H152" s="22"/>
    </row>
    <row r="153" spans="1:8" ht="51" x14ac:dyDescent="0.2">
      <c r="A153" s="2" t="s">
        <v>45</v>
      </c>
      <c r="B153" s="69" t="s">
        <v>0</v>
      </c>
      <c r="C153" s="69"/>
      <c r="D153" s="49" t="s">
        <v>1</v>
      </c>
      <c r="E153" s="49" t="s">
        <v>4</v>
      </c>
      <c r="F153" s="49" t="s">
        <v>2</v>
      </c>
      <c r="G153" s="20" t="s">
        <v>3</v>
      </c>
      <c r="H153" s="22"/>
    </row>
    <row r="154" spans="1:8" x14ac:dyDescent="0.2">
      <c r="A154" s="15" t="s">
        <v>29</v>
      </c>
      <c r="B154">
        <v>0</v>
      </c>
      <c r="C154">
        <v>0</v>
      </c>
      <c r="D154">
        <f>AVERAGE(B154:C154)</f>
        <v>0</v>
      </c>
      <c r="E154" s="4">
        <v>1</v>
      </c>
      <c r="F154" s="4">
        <f>1772.1-1770</f>
        <v>2.0999999999999091</v>
      </c>
      <c r="G154" s="21" t="e">
        <f>LOG10(D154*100*E154/F154*1000)</f>
        <v>#NUM!</v>
      </c>
      <c r="H154" s="22"/>
    </row>
    <row r="155" spans="1:8" x14ac:dyDescent="0.2">
      <c r="A155" s="15" t="s">
        <v>30</v>
      </c>
      <c r="B155" s="16">
        <v>0</v>
      </c>
      <c r="C155" s="16">
        <v>0</v>
      </c>
      <c r="D155" s="16">
        <f t="shared" ref="D155:D157" si="61">AVERAGE(B155:C155)</f>
        <v>0</v>
      </c>
      <c r="E155" s="15">
        <v>1</v>
      </c>
      <c r="F155" s="15">
        <f>1798.2-1790.1</f>
        <v>8.1000000000001364</v>
      </c>
      <c r="G155" s="21" t="e">
        <f>LOG10(D155*100*E155/F155*1000)</f>
        <v>#NUM!</v>
      </c>
      <c r="H155" s="22"/>
    </row>
    <row r="156" spans="1:8" x14ac:dyDescent="0.2">
      <c r="A156" s="15" t="s">
        <v>16</v>
      </c>
      <c r="B156" s="16">
        <v>38</v>
      </c>
      <c r="C156" s="16">
        <v>24</v>
      </c>
      <c r="D156" s="16">
        <f t="shared" si="61"/>
        <v>31</v>
      </c>
      <c r="E156" s="15">
        <v>10</v>
      </c>
      <c r="F156" s="15">
        <f>1775-1751.8</f>
        <v>23.200000000000045</v>
      </c>
      <c r="G156" s="21">
        <f t="shared" ref="G156:G157" si="62">LOG10(D156*100*E156/F156*1000)</f>
        <v>6.1258737089433719</v>
      </c>
      <c r="H156" s="22"/>
    </row>
    <row r="157" spans="1:8" x14ac:dyDescent="0.2">
      <c r="A157" s="15" t="s">
        <v>31</v>
      </c>
      <c r="B157" s="16">
        <v>65</v>
      </c>
      <c r="C157" s="16">
        <v>59</v>
      </c>
      <c r="D157" s="16">
        <f t="shared" si="61"/>
        <v>62</v>
      </c>
      <c r="E157" s="15">
        <v>1000</v>
      </c>
      <c r="F157" s="15">
        <f>1765.5-1726.8</f>
        <v>38.700000000000045</v>
      </c>
      <c r="G157" s="21">
        <f t="shared" si="62"/>
        <v>8.204680724479342</v>
      </c>
      <c r="H157" s="22"/>
    </row>
    <row r="158" spans="1:8" ht="17" x14ac:dyDescent="0.2">
      <c r="A158" s="26" t="s">
        <v>17</v>
      </c>
      <c r="B158" s="17">
        <v>16</v>
      </c>
      <c r="C158" s="17">
        <v>24</v>
      </c>
      <c r="D158" s="16">
        <f>AVERAGE(B158:C158)</f>
        <v>20</v>
      </c>
      <c r="E158" s="26">
        <v>1000</v>
      </c>
      <c r="F158" s="26">
        <f>1815.6-1799.4</f>
        <v>16.199999999999818</v>
      </c>
      <c r="G158" s="21">
        <f>LOG10(D158*100*E158/F158*1000)</f>
        <v>8.0915149811213549</v>
      </c>
      <c r="H158" s="22"/>
    </row>
    <row r="159" spans="1:8" x14ac:dyDescent="0.2">
      <c r="A159" s="15" t="s">
        <v>32</v>
      </c>
      <c r="B159" s="16">
        <v>15</v>
      </c>
      <c r="C159" s="16">
        <v>15</v>
      </c>
      <c r="D159" s="16">
        <f t="shared" ref="D159:D163" si="63">AVERAGE(B159:C159)</f>
        <v>15</v>
      </c>
      <c r="E159" s="15">
        <v>1000</v>
      </c>
      <c r="F159" s="4">
        <f>1908.6-1889.4</f>
        <v>19.199999999999818</v>
      </c>
      <c r="G159" s="21">
        <f>LOG10(D159*100*E159/F159*1000)</f>
        <v>7.8927900303521357</v>
      </c>
      <c r="H159" s="22"/>
    </row>
    <row r="160" spans="1:8" ht="17" x14ac:dyDescent="0.2">
      <c r="A160" s="26" t="s">
        <v>14</v>
      </c>
      <c r="B160" s="18">
        <v>20</v>
      </c>
      <c r="C160" s="18">
        <v>18</v>
      </c>
      <c r="D160" s="16">
        <f t="shared" si="63"/>
        <v>19</v>
      </c>
      <c r="E160" s="49">
        <v>1000</v>
      </c>
      <c r="F160" s="49">
        <f>1695.5-1665.1</f>
        <v>30.400000000000091</v>
      </c>
      <c r="G160" s="21">
        <f>LOG10(D160*100*E160/F160*1000)</f>
        <v>7.7958800173440741</v>
      </c>
      <c r="H160" s="22"/>
    </row>
    <row r="161" spans="1:8" ht="17" x14ac:dyDescent="0.2">
      <c r="A161" s="26" t="s">
        <v>19</v>
      </c>
      <c r="B161" s="18">
        <v>13</v>
      </c>
      <c r="C161" s="18">
        <v>7</v>
      </c>
      <c r="D161" s="16">
        <f t="shared" si="63"/>
        <v>10</v>
      </c>
      <c r="E161" s="49">
        <v>1000</v>
      </c>
      <c r="F161" s="49">
        <f>1714.8-1656.9</f>
        <v>57.899999999999864</v>
      </c>
      <c r="G161" s="21">
        <f t="shared" ref="G161:G163" si="64">LOG10(D161*100*E161/F161*1000)</f>
        <v>7.2373214362725644</v>
      </c>
      <c r="H161" s="22"/>
    </row>
    <row r="162" spans="1:8" ht="17" x14ac:dyDescent="0.2">
      <c r="A162" s="26" t="s">
        <v>43</v>
      </c>
      <c r="B162" s="18">
        <v>41</v>
      </c>
      <c r="C162" s="18">
        <v>32</v>
      </c>
      <c r="D162" s="16">
        <f t="shared" si="63"/>
        <v>36.5</v>
      </c>
      <c r="E162" s="49">
        <v>10</v>
      </c>
      <c r="F162" s="49">
        <f>1821.2-1756.6</f>
        <v>64.600000000000136</v>
      </c>
      <c r="G162" s="21">
        <f t="shared" si="64"/>
        <v>5.7520603464613895</v>
      </c>
      <c r="H162" s="22"/>
    </row>
    <row r="163" spans="1:8" ht="17" x14ac:dyDescent="0.2">
      <c r="A163" s="26" t="s">
        <v>18</v>
      </c>
      <c r="B163" s="18">
        <v>23</v>
      </c>
      <c r="C163" s="18">
        <v>30</v>
      </c>
      <c r="D163" s="16">
        <f t="shared" si="63"/>
        <v>26.5</v>
      </c>
      <c r="E163" s="49">
        <v>10</v>
      </c>
      <c r="F163" s="49">
        <f>1845.2-1766.6</f>
        <v>78.600000000000136</v>
      </c>
      <c r="G163" s="21">
        <f t="shared" si="64"/>
        <v>5.5278233278973996</v>
      </c>
      <c r="H163" s="22"/>
    </row>
    <row r="164" spans="1:8" x14ac:dyDescent="0.2">
      <c r="A164" s="15"/>
      <c r="B164" s="16"/>
      <c r="C164" s="16"/>
      <c r="D164" s="16"/>
      <c r="E164" s="15"/>
      <c r="F164" s="15"/>
      <c r="G164" s="21"/>
      <c r="H164" s="22"/>
    </row>
    <row r="165" spans="1:8" ht="51" x14ac:dyDescent="0.2">
      <c r="A165" s="28" t="s">
        <v>46</v>
      </c>
      <c r="B165" s="70" t="s">
        <v>0</v>
      </c>
      <c r="C165" s="70"/>
      <c r="D165" s="57" t="s">
        <v>1</v>
      </c>
      <c r="E165" s="57" t="s">
        <v>4</v>
      </c>
      <c r="F165" s="57" t="s">
        <v>2</v>
      </c>
      <c r="G165" s="58" t="s">
        <v>3</v>
      </c>
      <c r="H165" s="22"/>
    </row>
    <row r="166" spans="1:8" x14ac:dyDescent="0.2">
      <c r="A166" s="29" t="s">
        <v>29</v>
      </c>
      <c r="B166" s="30">
        <v>0</v>
      </c>
      <c r="C166" s="30">
        <v>0</v>
      </c>
      <c r="D166">
        <f>AVERAGE(B166:C166)</f>
        <v>0</v>
      </c>
      <c r="E166">
        <v>1</v>
      </c>
      <c r="F166" s="29">
        <f>1760.9-1732.7</f>
        <v>28.200000000000045</v>
      </c>
      <c r="G166" s="21" t="e">
        <f>LOG10(D166*100*E166/F166*1000)</f>
        <v>#NUM!</v>
      </c>
      <c r="H166" s="22"/>
    </row>
    <row r="167" spans="1:8" x14ac:dyDescent="0.2">
      <c r="A167" s="29" t="s">
        <v>30</v>
      </c>
      <c r="B167" s="30">
        <v>0</v>
      </c>
      <c r="C167" s="30">
        <v>0</v>
      </c>
      <c r="D167" s="16">
        <f t="shared" ref="D167:D169" si="65">AVERAGE(B167:C167)</f>
        <v>0</v>
      </c>
      <c r="E167">
        <v>1</v>
      </c>
      <c r="F167" s="29">
        <f>1727.6-1698.3</f>
        <v>29.299999999999955</v>
      </c>
      <c r="G167" s="21" t="e">
        <f>LOG10(D167*100*E167/F167*1000)</f>
        <v>#NUM!</v>
      </c>
      <c r="H167" s="22"/>
    </row>
    <row r="168" spans="1:8" x14ac:dyDescent="0.2">
      <c r="A168" s="29" t="s">
        <v>16</v>
      </c>
      <c r="B168" s="30">
        <v>0</v>
      </c>
      <c r="C168" s="30">
        <v>0</v>
      </c>
      <c r="D168" s="16">
        <f t="shared" si="65"/>
        <v>0</v>
      </c>
      <c r="E168">
        <v>1</v>
      </c>
      <c r="F168" s="29">
        <f>1796.7-1763.3</f>
        <v>33.400000000000091</v>
      </c>
      <c r="G168" s="21" t="e">
        <f t="shared" ref="G168:G169" si="66">LOG10(D168*100*E168/F168*1000)</f>
        <v>#NUM!</v>
      </c>
      <c r="H168" s="22"/>
    </row>
    <row r="169" spans="1:8" x14ac:dyDescent="0.2">
      <c r="A169" s="29" t="s">
        <v>31</v>
      </c>
      <c r="B169" s="30">
        <v>0</v>
      </c>
      <c r="C169" s="30">
        <v>0</v>
      </c>
      <c r="D169" s="16">
        <f t="shared" si="65"/>
        <v>0</v>
      </c>
      <c r="E169" s="29">
        <v>1</v>
      </c>
      <c r="F169" s="29">
        <f>1776.3-1745.8</f>
        <v>30.5</v>
      </c>
      <c r="G169" s="21" t="e">
        <f t="shared" si="66"/>
        <v>#NUM!</v>
      </c>
      <c r="H169" s="22"/>
    </row>
    <row r="170" spans="1:8" ht="17" x14ac:dyDescent="0.2">
      <c r="A170" s="57" t="s">
        <v>17</v>
      </c>
      <c r="B170" s="59">
        <v>16</v>
      </c>
      <c r="C170" s="59">
        <v>12</v>
      </c>
      <c r="D170" s="16">
        <f>AVERAGE(B170:C170)</f>
        <v>14</v>
      </c>
      <c r="E170" s="57">
        <v>1</v>
      </c>
      <c r="F170" s="57">
        <f>1781.3-1730</f>
        <v>51.299999999999955</v>
      </c>
      <c r="G170" s="21">
        <f>LOG10(D170*100*E170/F170*1000)</f>
        <v>4.4360106705664224</v>
      </c>
      <c r="H170" s="22"/>
    </row>
    <row r="171" spans="1:8" x14ac:dyDescent="0.2">
      <c r="A171" s="29" t="s">
        <v>32</v>
      </c>
      <c r="B171" s="30">
        <v>68</v>
      </c>
      <c r="C171" s="30">
        <v>58</v>
      </c>
      <c r="D171" s="16">
        <f t="shared" ref="D171:D175" si="67">AVERAGE(B171:C171)</f>
        <v>63</v>
      </c>
      <c r="E171" s="29">
        <v>10</v>
      </c>
      <c r="F171" s="29">
        <f>1735.4-1711.8</f>
        <v>23.600000000000136</v>
      </c>
      <c r="G171" s="21">
        <f t="shared" ref="G171:G175" si="68">LOG10(D171*100*E171/F171*1000)</f>
        <v>6.4264285464834723</v>
      </c>
      <c r="H171" s="22"/>
    </row>
    <row r="172" spans="1:8" ht="17" x14ac:dyDescent="0.2">
      <c r="A172" s="57" t="s">
        <v>14</v>
      </c>
      <c r="B172" s="59">
        <v>45</v>
      </c>
      <c r="C172" s="59">
        <v>51</v>
      </c>
      <c r="D172" s="16">
        <f t="shared" si="67"/>
        <v>48</v>
      </c>
      <c r="E172" s="57">
        <v>100</v>
      </c>
      <c r="F172" s="57">
        <f>1654.2-1632.3</f>
        <v>21.900000000000091</v>
      </c>
      <c r="G172" s="21">
        <f t="shared" si="68"/>
        <v>7.3407971225354673</v>
      </c>
      <c r="H172" s="22"/>
    </row>
    <row r="173" spans="1:8" ht="17" x14ac:dyDescent="0.2">
      <c r="A173" s="26" t="s">
        <v>19</v>
      </c>
      <c r="B173" s="18">
        <v>18</v>
      </c>
      <c r="C173" s="18">
        <v>12</v>
      </c>
      <c r="D173" s="16">
        <f t="shared" si="67"/>
        <v>15</v>
      </c>
      <c r="E173" s="49">
        <v>10</v>
      </c>
      <c r="F173" s="49">
        <f>1740.6-1646.5</f>
        <v>94.099999999999909</v>
      </c>
      <c r="G173" s="21">
        <f t="shared" si="68"/>
        <v>5.2025016356284244</v>
      </c>
      <c r="H173" s="22"/>
    </row>
    <row r="174" spans="1:8" ht="17" x14ac:dyDescent="0.2">
      <c r="A174" s="26" t="s">
        <v>43</v>
      </c>
      <c r="B174" s="18">
        <v>45</v>
      </c>
      <c r="C174" s="18">
        <v>49</v>
      </c>
      <c r="D174" s="16">
        <f t="shared" si="67"/>
        <v>47</v>
      </c>
      <c r="E174" s="49">
        <v>10</v>
      </c>
      <c r="F174" s="49">
        <f>1842.8-1803.9</f>
        <v>38.899999999999864</v>
      </c>
      <c r="G174" s="21">
        <f t="shared" si="68"/>
        <v>6.0821482566100116</v>
      </c>
      <c r="H174" s="22"/>
    </row>
    <row r="175" spans="1:8" ht="17" x14ac:dyDescent="0.2">
      <c r="A175" s="26" t="s">
        <v>18</v>
      </c>
      <c r="B175" s="18">
        <v>26</v>
      </c>
      <c r="C175" s="18">
        <v>30</v>
      </c>
      <c r="D175" s="16">
        <f t="shared" si="67"/>
        <v>28</v>
      </c>
      <c r="E175" s="49">
        <v>10</v>
      </c>
      <c r="F175" s="49">
        <f>1694.5-1663.2</f>
        <v>31.299999999999955</v>
      </c>
      <c r="G175" s="21">
        <f t="shared" si="68"/>
        <v>5.9516136937957711</v>
      </c>
      <c r="H175" s="20"/>
    </row>
    <row r="176" spans="1:8" x14ac:dyDescent="0.2">
      <c r="A176" s="26"/>
      <c r="B176" s="17"/>
      <c r="C176" s="17"/>
      <c r="D176" s="16"/>
      <c r="E176" s="26"/>
      <c r="F176" s="26"/>
      <c r="G176" s="21"/>
      <c r="H176" s="22"/>
    </row>
    <row r="177" spans="1:8" ht="51" x14ac:dyDescent="0.2">
      <c r="A177" s="28" t="s">
        <v>47</v>
      </c>
      <c r="B177" s="70" t="s">
        <v>0</v>
      </c>
      <c r="C177" s="70"/>
      <c r="D177" s="57" t="s">
        <v>1</v>
      </c>
      <c r="E177" s="57" t="s">
        <v>4</v>
      </c>
      <c r="F177" s="57" t="s">
        <v>2</v>
      </c>
      <c r="G177" s="58" t="s">
        <v>3</v>
      </c>
      <c r="H177" s="22"/>
    </row>
    <row r="178" spans="1:8" x14ac:dyDescent="0.2">
      <c r="A178" s="29" t="s">
        <v>29</v>
      </c>
      <c r="B178" s="30">
        <v>2</v>
      </c>
      <c r="C178" s="30">
        <v>2</v>
      </c>
      <c r="D178">
        <f>AVERAGE(B178:C178)</f>
        <v>2</v>
      </c>
      <c r="E178" s="29">
        <v>1</v>
      </c>
      <c r="F178" s="29">
        <f>1756.2-1721.5</f>
        <v>34.700000000000045</v>
      </c>
      <c r="G178" s="21">
        <f>LOG10(D178*100*E178/F178*1000)</f>
        <v>3.7607005208731068</v>
      </c>
      <c r="H178" s="22"/>
    </row>
    <row r="179" spans="1:8" x14ac:dyDescent="0.2">
      <c r="A179" s="29" t="s">
        <v>30</v>
      </c>
      <c r="B179" s="30">
        <v>8</v>
      </c>
      <c r="C179" s="30">
        <v>4</v>
      </c>
      <c r="D179" s="16">
        <f t="shared" ref="D179:D181" si="69">AVERAGE(B179:C179)</f>
        <v>6</v>
      </c>
      <c r="E179" s="29">
        <v>10</v>
      </c>
      <c r="F179" s="29">
        <f>1748.4-1690.9</f>
        <v>57.5</v>
      </c>
      <c r="G179" s="21">
        <f>LOG10(D179*100*E179/F179*1000)</f>
        <v>5.0184834056940133</v>
      </c>
      <c r="H179" s="22"/>
    </row>
    <row r="180" spans="1:8" x14ac:dyDescent="0.2">
      <c r="A180" s="29" t="s">
        <v>16</v>
      </c>
      <c r="B180" s="30">
        <v>73</v>
      </c>
      <c r="C180" s="30">
        <v>86</v>
      </c>
      <c r="D180" s="16">
        <f t="shared" si="69"/>
        <v>79.5</v>
      </c>
      <c r="E180" s="29">
        <v>100</v>
      </c>
      <c r="F180" s="29">
        <f>1755.6-1725.5</f>
        <v>30.099999999999909</v>
      </c>
      <c r="G180" s="21">
        <f t="shared" ref="G180:G181" si="70">LOG10(D180*100*E180/F180*1000)</f>
        <v>7.4218006330626283</v>
      </c>
      <c r="H180" s="22"/>
    </row>
    <row r="181" spans="1:8" x14ac:dyDescent="0.2">
      <c r="A181" s="29" t="s">
        <v>31</v>
      </c>
      <c r="B181" s="30">
        <v>85</v>
      </c>
      <c r="C181" s="30">
        <v>86</v>
      </c>
      <c r="D181" s="16">
        <f t="shared" si="69"/>
        <v>85.5</v>
      </c>
      <c r="E181" s="29">
        <v>100</v>
      </c>
      <c r="F181" s="29">
        <f>1833.4-1814.2</f>
        <v>19.200000000000045</v>
      </c>
      <c r="G181" s="21">
        <f t="shared" si="70"/>
        <v>7.6486648860246218</v>
      </c>
      <c r="H181" s="22"/>
    </row>
    <row r="182" spans="1:8" ht="17" x14ac:dyDescent="0.2">
      <c r="A182" s="57" t="s">
        <v>17</v>
      </c>
      <c r="B182" s="59">
        <v>114</v>
      </c>
      <c r="C182" s="59">
        <v>113</v>
      </c>
      <c r="D182" s="16">
        <f>AVERAGE(B182:C182)</f>
        <v>113.5</v>
      </c>
      <c r="E182" s="57">
        <v>100</v>
      </c>
      <c r="F182" s="57">
        <f>1701.2-1673.2</f>
        <v>28</v>
      </c>
      <c r="G182" s="21">
        <f>LOG10(D182*100*E182/F182*1000)</f>
        <v>7.6078378301869227</v>
      </c>
      <c r="H182" s="22"/>
    </row>
    <row r="183" spans="1:8" x14ac:dyDescent="0.2">
      <c r="A183" s="29" t="s">
        <v>32</v>
      </c>
      <c r="B183" s="30">
        <v>119</v>
      </c>
      <c r="C183" s="30">
        <v>90</v>
      </c>
      <c r="D183" s="16">
        <f t="shared" ref="D183:D187" si="71">AVERAGE(B183:C183)</f>
        <v>104.5</v>
      </c>
      <c r="E183" s="29">
        <v>100</v>
      </c>
      <c r="F183" s="29">
        <f>1771.1-1732.1</f>
        <v>39</v>
      </c>
      <c r="G183" s="21">
        <f t="shared" ref="G183:G187" si="72">LOG10(D183*100*E183/F183*1000)</f>
        <v>7.4280516834205734</v>
      </c>
      <c r="H183" s="22"/>
    </row>
    <row r="184" spans="1:8" ht="17" x14ac:dyDescent="0.2">
      <c r="A184" s="57" t="s">
        <v>14</v>
      </c>
      <c r="B184" s="59">
        <v>31</v>
      </c>
      <c r="C184" s="59">
        <v>42</v>
      </c>
      <c r="D184" s="16">
        <f t="shared" si="71"/>
        <v>36.5</v>
      </c>
      <c r="E184" s="57">
        <v>100</v>
      </c>
      <c r="F184" s="57">
        <f>1870.6-1842.6</f>
        <v>28</v>
      </c>
      <c r="G184" s="21">
        <f t="shared" si="72"/>
        <v>7.1151348331142552</v>
      </c>
      <c r="H184" s="22"/>
    </row>
    <row r="185" spans="1:8" ht="17" x14ac:dyDescent="0.2">
      <c r="A185" s="26" t="s">
        <v>19</v>
      </c>
      <c r="B185" s="18">
        <v>23</v>
      </c>
      <c r="C185" s="18">
        <v>30</v>
      </c>
      <c r="D185" s="16">
        <f t="shared" si="71"/>
        <v>26.5</v>
      </c>
      <c r="E185" s="49">
        <v>100</v>
      </c>
      <c r="F185" s="49">
        <f>1788.3-1771.1</f>
        <v>17.200000000000045</v>
      </c>
      <c r="G185" s="21">
        <f t="shared" si="72"/>
        <v>7.1877174270292574</v>
      </c>
      <c r="H185" s="22"/>
    </row>
    <row r="186" spans="1:8" ht="17" x14ac:dyDescent="0.2">
      <c r="A186" s="26" t="s">
        <v>43</v>
      </c>
      <c r="B186" s="18">
        <v>77</v>
      </c>
      <c r="C186" s="18">
        <v>70</v>
      </c>
      <c r="D186" s="16">
        <f t="shared" si="71"/>
        <v>73.5</v>
      </c>
      <c r="E186" s="49">
        <v>10</v>
      </c>
      <c r="F186" s="49">
        <f>1827.3-1799.2</f>
        <v>28.099999999999909</v>
      </c>
      <c r="G186" s="21">
        <f t="shared" si="72"/>
        <v>6.4175810191791163</v>
      </c>
      <c r="H186" s="22"/>
    </row>
    <row r="187" spans="1:8" ht="17" x14ac:dyDescent="0.2">
      <c r="A187" s="26" t="s">
        <v>18</v>
      </c>
      <c r="B187" s="18">
        <v>48</v>
      </c>
      <c r="C187" s="18">
        <v>50</v>
      </c>
      <c r="D187" s="16">
        <f t="shared" si="71"/>
        <v>49</v>
      </c>
      <c r="E187" s="49">
        <v>10</v>
      </c>
      <c r="F187" s="49">
        <f>1943.7-1866.1</f>
        <v>77.600000000000136</v>
      </c>
      <c r="G187" s="21">
        <f t="shared" si="72"/>
        <v>5.800334358770324</v>
      </c>
      <c r="H187" s="22"/>
    </row>
    <row r="188" spans="1:8" x14ac:dyDescent="0.2">
      <c r="A188" s="2"/>
      <c r="B188" s="69"/>
      <c r="C188" s="69"/>
      <c r="D188" s="49"/>
      <c r="E188" s="49"/>
      <c r="F188" s="49"/>
      <c r="G188" s="20"/>
      <c r="H188" s="22"/>
    </row>
    <row r="189" spans="1:8" ht="51" x14ac:dyDescent="0.2">
      <c r="A189" s="28" t="s">
        <v>48</v>
      </c>
      <c r="B189" s="70" t="s">
        <v>0</v>
      </c>
      <c r="C189" s="70"/>
      <c r="D189" s="57" t="s">
        <v>1</v>
      </c>
      <c r="E189" s="57" t="s">
        <v>4</v>
      </c>
      <c r="F189" s="57" t="s">
        <v>2</v>
      </c>
      <c r="G189" s="58" t="s">
        <v>3</v>
      </c>
      <c r="H189" s="22"/>
    </row>
    <row r="190" spans="1:8" x14ac:dyDescent="0.2">
      <c r="A190" s="29" t="s">
        <v>29</v>
      </c>
      <c r="B190" s="30">
        <v>1</v>
      </c>
      <c r="C190" s="30">
        <v>0</v>
      </c>
      <c r="D190">
        <f>AVERAGE(B190:C190)</f>
        <v>0.5</v>
      </c>
      <c r="E190" s="29">
        <v>1</v>
      </c>
      <c r="F190" s="29">
        <f>1813.7-1788.3</f>
        <v>25.400000000000091</v>
      </c>
      <c r="G190" s="21">
        <f>LOG10(D190*100*E190/F190*1000)</f>
        <v>3.2941362877160794</v>
      </c>
      <c r="H190" s="22"/>
    </row>
    <row r="191" spans="1:8" x14ac:dyDescent="0.2">
      <c r="A191" s="29" t="s">
        <v>30</v>
      </c>
      <c r="B191" s="30">
        <v>12</v>
      </c>
      <c r="C191" s="30">
        <v>9</v>
      </c>
      <c r="D191" s="16">
        <f t="shared" ref="D191:D193" si="73">AVERAGE(B191:C191)</f>
        <v>10.5</v>
      </c>
      <c r="E191" s="29">
        <v>1</v>
      </c>
      <c r="F191" s="29">
        <f>1704.1-1664.5</f>
        <v>39.599999999999909</v>
      </c>
      <c r="G191" s="21">
        <f>LOG10(D191*100*E191/F191*1000)</f>
        <v>4.423494113144427</v>
      </c>
      <c r="H191" s="22"/>
    </row>
    <row r="192" spans="1:8" x14ac:dyDescent="0.2">
      <c r="A192" s="29" t="s">
        <v>16</v>
      </c>
      <c r="B192" s="30">
        <v>73</v>
      </c>
      <c r="C192" s="30">
        <v>78</v>
      </c>
      <c r="D192" s="16">
        <f t="shared" si="73"/>
        <v>75.5</v>
      </c>
      <c r="E192" s="29">
        <v>10</v>
      </c>
      <c r="F192" s="29">
        <f>1693.9-1653.7</f>
        <v>40.200000000000045</v>
      </c>
      <c r="G192" s="21">
        <f t="shared" ref="G192:G193" si="74">LOG10(D192*100*E192/F192*1000)</f>
        <v>6.2737208985447177</v>
      </c>
      <c r="H192" s="22"/>
    </row>
    <row r="193" spans="1:8" x14ac:dyDescent="0.2">
      <c r="A193" s="29" t="s">
        <v>31</v>
      </c>
      <c r="B193" s="30">
        <v>4</v>
      </c>
      <c r="C193" s="30">
        <v>10</v>
      </c>
      <c r="D193" s="16">
        <f t="shared" si="73"/>
        <v>7</v>
      </c>
      <c r="E193" s="29">
        <v>1000</v>
      </c>
      <c r="F193" s="29">
        <f>1794.4-1763.9</f>
        <v>30.5</v>
      </c>
      <c r="G193" s="21">
        <f t="shared" si="74"/>
        <v>7.360798200667471</v>
      </c>
      <c r="H193" s="22"/>
    </row>
    <row r="194" spans="1:8" ht="17" x14ac:dyDescent="0.2">
      <c r="A194" s="57" t="s">
        <v>17</v>
      </c>
      <c r="B194" s="59">
        <v>6</v>
      </c>
      <c r="C194" s="59">
        <v>5</v>
      </c>
      <c r="D194" s="16">
        <f>AVERAGE(B194:C194)</f>
        <v>5.5</v>
      </c>
      <c r="E194" s="57">
        <v>1000</v>
      </c>
      <c r="F194" s="57">
        <f>1783.6-1745.9</f>
        <v>37.699999999999818</v>
      </c>
      <c r="G194" s="21">
        <f>LOG10(D194*100*E194/F194*1000)</f>
        <v>7.1640213392884533</v>
      </c>
      <c r="H194" s="22"/>
    </row>
    <row r="195" spans="1:8" x14ac:dyDescent="0.2">
      <c r="A195" s="29" t="s">
        <v>32</v>
      </c>
      <c r="B195" s="30">
        <v>95</v>
      </c>
      <c r="C195" s="30">
        <v>98</v>
      </c>
      <c r="D195" s="16">
        <f t="shared" ref="D195:D199" si="75">AVERAGE(B195:C195)</f>
        <v>96.5</v>
      </c>
      <c r="E195" s="29">
        <v>100</v>
      </c>
      <c r="F195" s="29">
        <f>1820.8-1803.5</f>
        <v>17.299999999999955</v>
      </c>
      <c r="G195" s="21">
        <f t="shared" ref="G195:G199" si="76">LOG10(D195*100*E195/F195*1000)</f>
        <v>7.7464812102149985</v>
      </c>
      <c r="H195" s="22"/>
    </row>
    <row r="196" spans="1:8" ht="17" x14ac:dyDescent="0.2">
      <c r="A196" s="57" t="s">
        <v>14</v>
      </c>
      <c r="B196" s="59">
        <v>8</v>
      </c>
      <c r="C196" s="59">
        <v>9</v>
      </c>
      <c r="D196" s="16">
        <f t="shared" si="75"/>
        <v>8.5</v>
      </c>
      <c r="E196" s="57">
        <v>1000</v>
      </c>
      <c r="F196" s="57">
        <f>1788.5-1748.5</f>
        <v>40</v>
      </c>
      <c r="G196" s="21">
        <f t="shared" si="76"/>
        <v>7.3273589343863303</v>
      </c>
      <c r="H196" s="22"/>
    </row>
    <row r="197" spans="1:8" ht="17" x14ac:dyDescent="0.2">
      <c r="A197" s="26" t="s">
        <v>19</v>
      </c>
      <c r="B197" s="18">
        <v>69</v>
      </c>
      <c r="C197" s="18">
        <v>65</v>
      </c>
      <c r="D197" s="16">
        <f t="shared" si="75"/>
        <v>67</v>
      </c>
      <c r="E197" s="49">
        <v>100</v>
      </c>
      <c r="F197" s="49">
        <f>1822.4-1789.7</f>
        <v>32.700000000000045</v>
      </c>
      <c r="G197" s="21">
        <f t="shared" si="76"/>
        <v>7.3115270500405396</v>
      </c>
      <c r="H197" s="22"/>
    </row>
    <row r="198" spans="1:8" ht="17" x14ac:dyDescent="0.2">
      <c r="A198" s="26" t="s">
        <v>43</v>
      </c>
      <c r="B198" s="18">
        <v>49</v>
      </c>
      <c r="C198" s="18">
        <v>47</v>
      </c>
      <c r="D198" s="16">
        <f t="shared" si="75"/>
        <v>48</v>
      </c>
      <c r="E198" s="49">
        <v>10</v>
      </c>
      <c r="F198" s="49">
        <f>1862.4-1771.5</f>
        <v>90.900000000000091</v>
      </c>
      <c r="G198" s="21">
        <f t="shared" si="76"/>
        <v>5.7226773541536193</v>
      </c>
      <c r="H198" s="22"/>
    </row>
    <row r="199" spans="1:8" ht="17" x14ac:dyDescent="0.2">
      <c r="A199" s="26" t="s">
        <v>18</v>
      </c>
      <c r="B199" s="18">
        <v>46</v>
      </c>
      <c r="C199" s="18">
        <v>41</v>
      </c>
      <c r="D199" s="16">
        <f t="shared" si="75"/>
        <v>43.5</v>
      </c>
      <c r="E199" s="49">
        <v>10</v>
      </c>
      <c r="F199" s="49">
        <f>1893.8-1776.6</f>
        <v>117.20000000000005</v>
      </c>
      <c r="G199" s="21">
        <f t="shared" si="76"/>
        <v>5.5695616452725654</v>
      </c>
      <c r="H199" s="22"/>
    </row>
    <row r="200" spans="1:8" x14ac:dyDescent="0.2">
      <c r="A200" s="29"/>
      <c r="B200" s="30"/>
      <c r="C200" s="30"/>
      <c r="D200" s="16"/>
      <c r="E200" s="29"/>
      <c r="F200" s="29"/>
      <c r="G200" s="21"/>
      <c r="H200" s="22"/>
    </row>
    <row r="201" spans="1:8" x14ac:dyDescent="0.2">
      <c r="A201" s="29"/>
      <c r="B201" s="30"/>
      <c r="C201" s="30"/>
      <c r="D201" s="16"/>
      <c r="E201" s="29"/>
      <c r="F201" s="29"/>
      <c r="G201" s="21"/>
      <c r="H201" s="22"/>
    </row>
    <row r="202" spans="1:8" x14ac:dyDescent="0.2">
      <c r="A202" s="29"/>
      <c r="B202" s="30"/>
      <c r="C202" s="30"/>
      <c r="D202" s="16"/>
      <c r="E202" s="29"/>
      <c r="F202" s="29"/>
      <c r="G202" s="21"/>
      <c r="H202" s="22"/>
    </row>
    <row r="203" spans="1:8" x14ac:dyDescent="0.2">
      <c r="A203" s="15"/>
      <c r="B203" s="30"/>
      <c r="D203" s="16"/>
      <c r="E203" s="4"/>
      <c r="F203" s="4"/>
      <c r="G203" s="21"/>
      <c r="H203" s="22"/>
    </row>
    <row r="204" spans="1:8" x14ac:dyDescent="0.2">
      <c r="A204" s="15"/>
      <c r="B204" s="30"/>
      <c r="D204" s="16"/>
      <c r="E204" s="4"/>
      <c r="F204" s="4"/>
      <c r="G204" s="21"/>
      <c r="H204" s="22"/>
    </row>
    <row r="205" spans="1:8" x14ac:dyDescent="0.2">
      <c r="A205" s="28"/>
      <c r="B205" s="69"/>
      <c r="C205" s="69"/>
      <c r="D205" s="27"/>
      <c r="E205" s="27"/>
      <c r="F205" s="27"/>
      <c r="G205" s="20"/>
      <c r="H205" s="22"/>
    </row>
    <row r="206" spans="1:8" x14ac:dyDescent="0.2">
      <c r="A206" s="15"/>
      <c r="E206" s="4"/>
      <c r="F206" s="4"/>
      <c r="G206" s="21"/>
      <c r="H206" s="20"/>
    </row>
    <row r="207" spans="1:8" x14ac:dyDescent="0.2">
      <c r="A207" s="15"/>
      <c r="B207" s="16"/>
      <c r="C207" s="16"/>
      <c r="D207" s="16"/>
      <c r="E207" s="15"/>
      <c r="F207" s="15"/>
      <c r="G207" s="21"/>
      <c r="H207" s="22"/>
    </row>
    <row r="208" spans="1:8" x14ac:dyDescent="0.2">
      <c r="A208" s="15"/>
      <c r="B208" s="16"/>
      <c r="C208" s="16"/>
      <c r="D208" s="16"/>
      <c r="E208" s="15"/>
      <c r="F208" s="15"/>
      <c r="G208" s="21"/>
      <c r="H208" s="22"/>
    </row>
    <row r="209" spans="1:8" x14ac:dyDescent="0.2">
      <c r="A209" s="15"/>
      <c r="B209" s="16"/>
      <c r="C209" s="16"/>
      <c r="D209" s="16"/>
      <c r="E209" s="15"/>
      <c r="F209" s="15"/>
      <c r="G209" s="21"/>
      <c r="H209" s="22"/>
    </row>
    <row r="210" spans="1:8" x14ac:dyDescent="0.2">
      <c r="A210" s="26"/>
      <c r="B210" s="17"/>
      <c r="C210" s="17"/>
      <c r="D210" s="16"/>
      <c r="E210" s="26"/>
      <c r="F210" s="26"/>
      <c r="G210" s="21"/>
      <c r="H210" s="22"/>
    </row>
    <row r="211" spans="1:8" x14ac:dyDescent="0.2">
      <c r="A211" s="15"/>
      <c r="B211" s="16"/>
      <c r="C211" s="16"/>
      <c r="D211" s="16"/>
      <c r="E211" s="15"/>
      <c r="F211" s="15"/>
      <c r="G211" s="21"/>
      <c r="H211" s="22"/>
    </row>
    <row r="212" spans="1:8" x14ac:dyDescent="0.2">
      <c r="A212" s="15"/>
      <c r="B212" s="16"/>
      <c r="C212" s="16"/>
      <c r="D212" s="16"/>
      <c r="E212" s="15"/>
      <c r="F212" s="15"/>
      <c r="G212" s="21"/>
      <c r="H212" s="22"/>
    </row>
    <row r="213" spans="1:8" x14ac:dyDescent="0.2">
      <c r="A213" s="15"/>
      <c r="B213" s="16"/>
      <c r="C213" s="16"/>
      <c r="D213" s="16"/>
      <c r="E213" s="15"/>
      <c r="F213" s="15"/>
      <c r="G213" s="21"/>
      <c r="H213" s="22"/>
    </row>
    <row r="214" spans="1:8" x14ac:dyDescent="0.2">
      <c r="A214" s="15"/>
      <c r="B214" s="16"/>
      <c r="C214" s="16"/>
      <c r="D214" s="16"/>
      <c r="E214" s="15"/>
      <c r="F214" s="15"/>
      <c r="G214" s="21"/>
      <c r="H214" s="22"/>
    </row>
    <row r="215" spans="1:8" x14ac:dyDescent="0.2">
      <c r="A215" s="15"/>
      <c r="B215" s="16"/>
      <c r="C215" s="16"/>
      <c r="D215" s="16"/>
      <c r="E215" s="15"/>
      <c r="F215" s="4"/>
      <c r="G215" s="21"/>
      <c r="H215" s="22"/>
    </row>
    <row r="216" spans="1:8" x14ac:dyDescent="0.2">
      <c r="A216" s="29"/>
      <c r="B216" s="30"/>
      <c r="C216" s="30"/>
      <c r="D216" s="16"/>
      <c r="E216" s="29"/>
      <c r="F216" s="29"/>
      <c r="G216" s="21"/>
      <c r="H216" s="22"/>
    </row>
    <row r="217" spans="1:8" x14ac:dyDescent="0.2">
      <c r="A217" s="29"/>
      <c r="B217" s="30"/>
      <c r="C217" s="30"/>
      <c r="D217" s="16"/>
      <c r="E217" s="29"/>
      <c r="F217" s="29"/>
      <c r="G217" s="21"/>
      <c r="H217" s="22"/>
    </row>
    <row r="218" spans="1:8" x14ac:dyDescent="0.2">
      <c r="A218" s="29"/>
      <c r="B218" s="30"/>
      <c r="C218" s="30"/>
      <c r="D218" s="16"/>
      <c r="E218" s="29"/>
      <c r="F218" s="29"/>
      <c r="G218" s="21"/>
      <c r="H218" s="22"/>
    </row>
    <row r="219" spans="1:8" x14ac:dyDescent="0.2">
      <c r="A219" s="15"/>
      <c r="B219" s="30"/>
      <c r="C219" s="30"/>
      <c r="E219" s="4"/>
      <c r="F219" s="4"/>
      <c r="G219" s="21"/>
      <c r="H219" s="5"/>
    </row>
    <row r="220" spans="1:8" x14ac:dyDescent="0.2">
      <c r="A220" s="15"/>
      <c r="B220" s="30"/>
      <c r="E220" s="4"/>
      <c r="F220" s="4"/>
      <c r="G220" s="21"/>
      <c r="H220" s="5"/>
    </row>
    <row r="221" spans="1:8" x14ac:dyDescent="0.2">
      <c r="A221" s="28"/>
      <c r="B221" s="69"/>
      <c r="C221" s="69"/>
      <c r="D221" s="27"/>
      <c r="E221" s="27"/>
      <c r="F221" s="27"/>
      <c r="G221" s="20"/>
      <c r="H221" s="5"/>
    </row>
    <row r="222" spans="1:8" x14ac:dyDescent="0.2">
      <c r="A222" s="15"/>
      <c r="E222" s="4"/>
      <c r="F222" s="4"/>
      <c r="G222" s="22"/>
      <c r="H222" s="5"/>
    </row>
    <row r="223" spans="1:8" x14ac:dyDescent="0.2">
      <c r="A223" s="15"/>
      <c r="B223" s="16"/>
      <c r="C223" s="16"/>
      <c r="D223" s="16"/>
      <c r="E223" s="15"/>
      <c r="F223" s="15"/>
      <c r="G223" s="22"/>
      <c r="H223" s="5"/>
    </row>
    <row r="224" spans="1:8" x14ac:dyDescent="0.2">
      <c r="A224" s="15"/>
      <c r="B224" s="16"/>
      <c r="C224" s="16"/>
      <c r="D224" s="16"/>
      <c r="E224" s="15"/>
      <c r="F224" s="15"/>
      <c r="G224" s="22"/>
      <c r="H224" s="5"/>
    </row>
    <row r="225" spans="1:8" x14ac:dyDescent="0.2">
      <c r="A225" s="15"/>
      <c r="B225" s="16"/>
      <c r="C225" s="16"/>
      <c r="D225" s="16"/>
      <c r="E225" s="15"/>
      <c r="F225" s="15"/>
      <c r="G225" s="22"/>
      <c r="H225" s="5"/>
    </row>
    <row r="226" spans="1:8" x14ac:dyDescent="0.2">
      <c r="A226" s="26"/>
      <c r="B226" s="17"/>
      <c r="C226" s="17"/>
      <c r="D226" s="16"/>
      <c r="E226" s="26"/>
      <c r="F226" s="26"/>
      <c r="G226" s="22"/>
      <c r="H226" s="5"/>
    </row>
    <row r="227" spans="1:8" x14ac:dyDescent="0.2">
      <c r="A227" s="15"/>
      <c r="B227" s="16"/>
      <c r="C227" s="16"/>
      <c r="D227" s="16"/>
      <c r="E227" s="15"/>
      <c r="F227" s="15"/>
      <c r="G227" s="22"/>
      <c r="H227" s="5"/>
    </row>
    <row r="228" spans="1:8" x14ac:dyDescent="0.2">
      <c r="A228" s="15"/>
      <c r="B228" s="16"/>
      <c r="C228" s="16"/>
      <c r="D228" s="16"/>
      <c r="E228" s="15"/>
      <c r="F228" s="15"/>
      <c r="G228" s="22"/>
      <c r="H228" s="5"/>
    </row>
    <row r="229" spans="1:8" x14ac:dyDescent="0.2">
      <c r="A229" s="15"/>
      <c r="B229" s="16"/>
      <c r="C229" s="16"/>
      <c r="D229" s="16"/>
      <c r="E229" s="15"/>
      <c r="F229" s="15"/>
      <c r="G229" s="22"/>
      <c r="H229" s="5"/>
    </row>
    <row r="230" spans="1:8" x14ac:dyDescent="0.2">
      <c r="A230" s="15"/>
      <c r="B230" s="16"/>
      <c r="C230" s="16"/>
      <c r="D230" s="16"/>
      <c r="E230" s="15"/>
      <c r="F230" s="4"/>
      <c r="G230" s="22"/>
      <c r="H230" s="5"/>
    </row>
    <row r="231" spans="1:8" x14ac:dyDescent="0.2">
      <c r="A231" s="15"/>
      <c r="B231" s="16"/>
      <c r="C231" s="16"/>
      <c r="D231" s="16"/>
      <c r="E231" s="15"/>
      <c r="F231" s="4"/>
      <c r="G231" s="22"/>
      <c r="H231" s="5"/>
    </row>
    <row r="232" spans="1:8" x14ac:dyDescent="0.2">
      <c r="A232" s="29"/>
      <c r="B232" s="30"/>
      <c r="C232" s="30"/>
      <c r="D232" s="16"/>
      <c r="E232" s="29"/>
      <c r="F232" s="29"/>
      <c r="G232" s="22"/>
      <c r="H232" s="5"/>
    </row>
    <row r="233" spans="1:8" x14ac:dyDescent="0.2">
      <c r="A233" s="29"/>
      <c r="B233" s="30"/>
      <c r="C233" s="30"/>
      <c r="D233" s="16"/>
      <c r="E233" s="29"/>
      <c r="F233" s="29"/>
      <c r="G233" s="22"/>
      <c r="H233" s="5"/>
    </row>
    <row r="234" spans="1:8" x14ac:dyDescent="0.2">
      <c r="A234" s="29"/>
      <c r="B234" s="30"/>
      <c r="C234" s="30"/>
      <c r="D234" s="16"/>
      <c r="E234" s="29"/>
      <c r="F234" s="29"/>
      <c r="G234" s="22"/>
      <c r="H234" s="5"/>
    </row>
    <row r="235" spans="1:8" x14ac:dyDescent="0.2">
      <c r="A235" s="15"/>
      <c r="B235" s="30"/>
      <c r="C235" s="16"/>
      <c r="D235" s="16"/>
      <c r="E235" s="15"/>
      <c r="F235" s="4"/>
      <c r="G235" s="22"/>
      <c r="H235" s="3"/>
    </row>
    <row r="236" spans="1:8" x14ac:dyDescent="0.2">
      <c r="A236" s="15"/>
      <c r="B236" s="30"/>
      <c r="C236" s="16"/>
      <c r="D236" s="16"/>
      <c r="E236" s="4"/>
      <c r="F236" s="4"/>
      <c r="G236" s="22"/>
      <c r="H236" s="3"/>
    </row>
    <row r="237" spans="1:8" x14ac:dyDescent="0.2">
      <c r="A237" s="28"/>
      <c r="B237" s="69"/>
      <c r="C237" s="69"/>
      <c r="D237" s="27"/>
      <c r="E237" s="27"/>
      <c r="F237" s="27"/>
      <c r="G237" s="20"/>
      <c r="H237" s="3"/>
    </row>
    <row r="238" spans="1:8" x14ac:dyDescent="0.2">
      <c r="A238" s="15"/>
      <c r="E238" s="4"/>
      <c r="F238" s="4"/>
      <c r="G238" s="22"/>
    </row>
    <row r="239" spans="1:8" x14ac:dyDescent="0.2">
      <c r="A239" s="15"/>
      <c r="B239" s="16"/>
      <c r="C239" s="16"/>
      <c r="D239" s="16"/>
      <c r="E239" s="15"/>
      <c r="F239" s="15"/>
      <c r="G239" s="22"/>
      <c r="H239" s="6"/>
    </row>
    <row r="240" spans="1:8" x14ac:dyDescent="0.2">
      <c r="A240" s="15"/>
      <c r="B240" s="16"/>
      <c r="C240" s="16"/>
      <c r="D240" s="16"/>
      <c r="E240" s="15"/>
      <c r="F240" s="15"/>
      <c r="G240" s="22"/>
      <c r="H240" s="5"/>
    </row>
    <row r="241" spans="1:8" x14ac:dyDescent="0.2">
      <c r="A241" s="15"/>
      <c r="B241" s="16"/>
      <c r="C241" s="16"/>
      <c r="D241" s="16"/>
      <c r="E241" s="15"/>
      <c r="F241" s="15"/>
      <c r="G241" s="22"/>
      <c r="H241" s="5"/>
    </row>
    <row r="242" spans="1:8" x14ac:dyDescent="0.2">
      <c r="A242" s="26"/>
      <c r="B242" s="17"/>
      <c r="C242" s="17"/>
      <c r="D242" s="16"/>
      <c r="E242" s="26"/>
      <c r="F242" s="26"/>
      <c r="G242" s="22"/>
      <c r="H242" s="5"/>
    </row>
    <row r="243" spans="1:8" x14ac:dyDescent="0.2">
      <c r="A243" s="15"/>
      <c r="B243" s="16"/>
      <c r="C243" s="16"/>
      <c r="D243" s="16"/>
      <c r="E243" s="15"/>
      <c r="F243" s="15"/>
      <c r="G243" s="22"/>
      <c r="H243" s="5"/>
    </row>
    <row r="244" spans="1:8" x14ac:dyDescent="0.2">
      <c r="A244" s="15"/>
      <c r="B244" s="16"/>
      <c r="C244" s="16"/>
      <c r="D244" s="16"/>
      <c r="E244" s="15"/>
      <c r="F244" s="15"/>
      <c r="G244" s="22"/>
      <c r="H244" s="5"/>
    </row>
    <row r="245" spans="1:8" x14ac:dyDescent="0.2">
      <c r="A245" s="15"/>
      <c r="B245" s="16"/>
      <c r="C245" s="16"/>
      <c r="D245" s="16"/>
      <c r="E245" s="15"/>
      <c r="F245" s="15"/>
      <c r="G245" s="22"/>
      <c r="H245" s="5"/>
    </row>
    <row r="246" spans="1:8" x14ac:dyDescent="0.2">
      <c r="A246" s="15"/>
      <c r="B246" s="16"/>
      <c r="C246" s="16"/>
      <c r="D246" s="16"/>
      <c r="E246" s="15"/>
      <c r="F246" s="24"/>
      <c r="G246" s="22"/>
      <c r="H246" s="5"/>
    </row>
    <row r="247" spans="1:8" x14ac:dyDescent="0.2">
      <c r="A247" s="15"/>
      <c r="B247" s="16"/>
      <c r="C247" s="16"/>
      <c r="D247" s="16"/>
      <c r="E247" s="15"/>
      <c r="F247" s="24"/>
      <c r="G247" s="22"/>
      <c r="H247" s="5"/>
    </row>
    <row r="248" spans="1:8" x14ac:dyDescent="0.2">
      <c r="A248" s="29"/>
      <c r="B248" s="30"/>
      <c r="C248" s="30"/>
      <c r="D248" s="16"/>
      <c r="E248" s="29"/>
      <c r="F248" s="29"/>
      <c r="G248" s="22"/>
      <c r="H248" s="5"/>
    </row>
    <row r="249" spans="1:8" x14ac:dyDescent="0.2">
      <c r="A249" s="29"/>
      <c r="B249" s="30"/>
      <c r="C249" s="30"/>
      <c r="D249" s="16"/>
      <c r="E249" s="29"/>
      <c r="F249" s="29"/>
      <c r="G249" s="22"/>
      <c r="H249" s="5"/>
    </row>
    <row r="250" spans="1:8" x14ac:dyDescent="0.2">
      <c r="A250" s="29"/>
      <c r="B250" s="30"/>
      <c r="C250" s="30"/>
      <c r="D250" s="16"/>
      <c r="E250" s="29"/>
      <c r="F250" s="29"/>
      <c r="G250" s="22"/>
      <c r="H250" s="5"/>
    </row>
    <row r="251" spans="1:8" x14ac:dyDescent="0.2">
      <c r="A251" s="15"/>
      <c r="B251" s="30"/>
      <c r="C251" s="16"/>
      <c r="D251" s="16"/>
      <c r="E251" s="15"/>
      <c r="F251" s="24"/>
      <c r="G251" s="21"/>
      <c r="H251" s="5"/>
    </row>
    <row r="252" spans="1:8" x14ac:dyDescent="0.2">
      <c r="A252" s="4"/>
      <c r="B252" s="30"/>
      <c r="C252" s="16"/>
      <c r="D252" s="16"/>
      <c r="E252" s="15"/>
      <c r="F252" s="24"/>
      <c r="G252" s="21"/>
      <c r="H252" s="5"/>
    </row>
    <row r="253" spans="1:8" x14ac:dyDescent="0.2">
      <c r="A253" s="2"/>
      <c r="B253" s="69"/>
      <c r="C253" s="69"/>
      <c r="D253" s="27"/>
      <c r="E253" s="27"/>
      <c r="F253" s="27"/>
      <c r="G253" s="20"/>
      <c r="H253" s="5"/>
    </row>
    <row r="254" spans="1:8" x14ac:dyDescent="0.2">
      <c r="A254" s="15"/>
      <c r="E254" s="4"/>
      <c r="F254" s="4"/>
      <c r="G254" s="21"/>
      <c r="H254" s="5"/>
    </row>
    <row r="255" spans="1:8" x14ac:dyDescent="0.2">
      <c r="A255" s="15"/>
      <c r="B255" s="16"/>
      <c r="C255" s="16"/>
      <c r="D255" s="16"/>
      <c r="E255" s="15"/>
      <c r="F255" s="15"/>
      <c r="G255" s="21"/>
      <c r="H255" s="5"/>
    </row>
    <row r="256" spans="1:8" x14ac:dyDescent="0.2">
      <c r="A256" s="15"/>
      <c r="B256" s="16"/>
      <c r="C256" s="16"/>
      <c r="D256" s="16"/>
      <c r="E256" s="15"/>
      <c r="F256" s="15"/>
      <c r="G256" s="21"/>
      <c r="H256" s="5"/>
    </row>
    <row r="257" spans="1:8" x14ac:dyDescent="0.2">
      <c r="A257" s="15"/>
      <c r="B257" s="16"/>
      <c r="C257" s="16"/>
      <c r="D257" s="16"/>
      <c r="E257" s="15"/>
      <c r="F257" s="15"/>
      <c r="G257" s="21"/>
      <c r="H257" s="5"/>
    </row>
    <row r="258" spans="1:8" x14ac:dyDescent="0.2">
      <c r="A258" s="26"/>
      <c r="B258" s="17"/>
      <c r="C258" s="17"/>
      <c r="D258" s="16"/>
      <c r="E258" s="26"/>
      <c r="F258" s="26"/>
      <c r="G258" s="21"/>
      <c r="H258" s="5"/>
    </row>
    <row r="259" spans="1:8" x14ac:dyDescent="0.2">
      <c r="A259" s="15"/>
      <c r="B259" s="16"/>
      <c r="C259" s="16"/>
      <c r="D259" s="16"/>
      <c r="E259" s="15"/>
      <c r="F259" s="15"/>
      <c r="G259" s="21"/>
      <c r="H259" s="5"/>
    </row>
    <row r="260" spans="1:8" x14ac:dyDescent="0.2">
      <c r="A260" s="15"/>
      <c r="B260" s="32"/>
      <c r="C260" s="32"/>
      <c r="D260" s="16"/>
      <c r="E260" s="15"/>
      <c r="F260" s="15"/>
      <c r="G260" s="21"/>
      <c r="H260" s="5"/>
    </row>
    <row r="261" spans="1:8" x14ac:dyDescent="0.2">
      <c r="A261" s="15"/>
      <c r="B261" s="32"/>
      <c r="C261" s="32"/>
      <c r="D261" s="16"/>
      <c r="E261" s="15"/>
      <c r="F261" s="15"/>
      <c r="G261" s="21"/>
      <c r="H261" s="5"/>
    </row>
    <row r="262" spans="1:8" x14ac:dyDescent="0.2">
      <c r="A262" s="15"/>
      <c r="B262" s="32"/>
      <c r="C262" s="32"/>
      <c r="D262" s="16"/>
      <c r="E262" s="15"/>
      <c r="F262" s="16"/>
      <c r="G262" s="21"/>
      <c r="H262" s="5"/>
    </row>
    <row r="263" spans="1:8" x14ac:dyDescent="0.2">
      <c r="A263" s="26"/>
      <c r="B263" s="33"/>
      <c r="C263" s="33"/>
      <c r="D263" s="16"/>
      <c r="E263" s="26"/>
      <c r="F263" s="26"/>
      <c r="G263" s="21"/>
      <c r="H263" s="3"/>
    </row>
    <row r="264" spans="1:8" x14ac:dyDescent="0.2">
      <c r="A264" s="29"/>
      <c r="B264" s="34"/>
      <c r="C264" s="34"/>
      <c r="D264" s="16"/>
      <c r="E264" s="29"/>
      <c r="F264" s="29"/>
      <c r="G264" s="21"/>
      <c r="H264" s="3"/>
    </row>
    <row r="265" spans="1:8" x14ac:dyDescent="0.2">
      <c r="A265" s="29"/>
      <c r="B265" s="35"/>
      <c r="C265" s="34"/>
      <c r="D265" s="16"/>
      <c r="E265" s="29"/>
      <c r="F265" s="29"/>
      <c r="G265" s="21"/>
      <c r="H265" s="3"/>
    </row>
    <row r="266" spans="1:8" x14ac:dyDescent="0.2">
      <c r="A266" s="29"/>
      <c r="B266" s="35"/>
      <c r="C266" s="30"/>
      <c r="D266" s="16"/>
      <c r="E266" s="29"/>
      <c r="F266" s="29"/>
      <c r="G266" s="21"/>
      <c r="H266" s="3"/>
    </row>
    <row r="267" spans="1:8" x14ac:dyDescent="0.2">
      <c r="A267" s="26"/>
      <c r="B267" s="17"/>
      <c r="C267" s="26"/>
      <c r="D267" s="16"/>
      <c r="E267" s="26"/>
      <c r="F267" s="26"/>
      <c r="G267" s="21"/>
      <c r="H267" s="3"/>
    </row>
    <row r="268" spans="1:8" x14ac:dyDescent="0.2">
      <c r="A268" s="26"/>
      <c r="B268" s="17"/>
      <c r="C268" s="26"/>
      <c r="D268" s="16"/>
      <c r="E268" s="26"/>
      <c r="F268" s="26"/>
      <c r="G268" s="21"/>
      <c r="H268" s="3"/>
    </row>
    <row r="269" spans="1:8" x14ac:dyDescent="0.2">
      <c r="A269" s="28"/>
      <c r="B269" s="69"/>
      <c r="C269" s="69"/>
      <c r="D269" s="27"/>
      <c r="E269" s="27"/>
      <c r="F269" s="27"/>
      <c r="G269" s="20"/>
      <c r="H269" s="3"/>
    </row>
    <row r="270" spans="1:8" x14ac:dyDescent="0.2">
      <c r="A270" s="15"/>
      <c r="E270" s="4"/>
      <c r="F270" s="15"/>
      <c r="G270" s="21"/>
      <c r="H270" s="3"/>
    </row>
    <row r="271" spans="1:8" x14ac:dyDescent="0.2">
      <c r="A271" s="15"/>
      <c r="B271" s="16"/>
      <c r="C271" s="16"/>
      <c r="D271" s="16"/>
      <c r="E271" s="15"/>
      <c r="F271" s="4"/>
      <c r="G271" s="21"/>
    </row>
    <row r="272" spans="1:8" x14ac:dyDescent="0.2">
      <c r="A272" s="15"/>
      <c r="B272" s="16"/>
      <c r="C272" s="16"/>
      <c r="D272" s="16"/>
      <c r="E272" s="15"/>
      <c r="F272" s="15"/>
      <c r="G272" s="21"/>
      <c r="H272" s="6"/>
    </row>
    <row r="273" spans="1:8" x14ac:dyDescent="0.2">
      <c r="A273" s="15"/>
      <c r="B273" s="16"/>
      <c r="C273" s="16"/>
      <c r="D273" s="16"/>
      <c r="E273" s="15"/>
      <c r="F273" s="15"/>
      <c r="G273" s="21"/>
      <c r="H273" s="23"/>
    </row>
    <row r="274" spans="1:8" x14ac:dyDescent="0.2">
      <c r="A274" s="26"/>
      <c r="B274" s="17"/>
      <c r="C274" s="17"/>
      <c r="D274" s="16"/>
      <c r="E274" s="26"/>
      <c r="F274" s="26"/>
      <c r="G274" s="21"/>
      <c r="H274" s="23"/>
    </row>
    <row r="275" spans="1:8" x14ac:dyDescent="0.2">
      <c r="A275" s="15"/>
      <c r="B275" s="16"/>
      <c r="C275" s="16"/>
      <c r="D275" s="16"/>
      <c r="E275" s="15"/>
      <c r="F275" s="15"/>
      <c r="G275" s="21"/>
      <c r="H275" s="5"/>
    </row>
    <row r="276" spans="1:8" x14ac:dyDescent="0.2">
      <c r="A276" s="15"/>
      <c r="B276" s="16"/>
      <c r="C276" s="16"/>
      <c r="D276" s="16"/>
      <c r="E276" s="15"/>
      <c r="F276" s="15"/>
      <c r="G276" s="21"/>
      <c r="H276" s="5"/>
    </row>
    <row r="277" spans="1:8" x14ac:dyDescent="0.2">
      <c r="A277" s="15"/>
      <c r="B277" s="16"/>
      <c r="C277" s="16"/>
      <c r="D277" s="16"/>
      <c r="E277" s="15"/>
      <c r="F277" s="15"/>
      <c r="G277" s="21"/>
      <c r="H277" s="5"/>
    </row>
    <row r="278" spans="1:8" x14ac:dyDescent="0.2">
      <c r="A278" s="15"/>
      <c r="B278" s="16"/>
      <c r="C278" s="16"/>
      <c r="D278" s="16"/>
      <c r="E278" s="15"/>
      <c r="F278" s="4"/>
      <c r="G278" s="21"/>
      <c r="H278" s="5"/>
    </row>
    <row r="279" spans="1:8" x14ac:dyDescent="0.2">
      <c r="A279" s="15"/>
      <c r="B279" s="16"/>
      <c r="C279" s="16"/>
      <c r="D279" s="16"/>
      <c r="E279" s="15"/>
      <c r="F279" s="4"/>
      <c r="G279" s="21"/>
      <c r="H279" s="5"/>
    </row>
    <row r="280" spans="1:8" x14ac:dyDescent="0.2">
      <c r="A280" s="29"/>
      <c r="B280" s="30"/>
      <c r="C280" s="30"/>
      <c r="D280" s="16"/>
      <c r="E280" s="29"/>
      <c r="F280" s="29"/>
      <c r="G280" s="21"/>
      <c r="H280" s="5"/>
    </row>
    <row r="281" spans="1:8" x14ac:dyDescent="0.2">
      <c r="A281" s="29"/>
      <c r="B281" s="30"/>
      <c r="C281" s="30"/>
      <c r="D281" s="16"/>
      <c r="E281" s="29"/>
      <c r="F281" s="29"/>
      <c r="G281" s="21"/>
      <c r="H281" s="5"/>
    </row>
    <row r="282" spans="1:8" x14ac:dyDescent="0.2">
      <c r="A282" s="29"/>
      <c r="B282" s="30"/>
      <c r="C282" s="30"/>
      <c r="D282" s="16"/>
      <c r="E282" s="29"/>
      <c r="F282" s="29"/>
      <c r="G282" s="21"/>
      <c r="H282" s="5"/>
    </row>
    <row r="283" spans="1:8" x14ac:dyDescent="0.2">
      <c r="A283" s="26"/>
      <c r="B283" s="18"/>
      <c r="C283" s="18"/>
      <c r="D283" s="16"/>
      <c r="E283" s="15"/>
      <c r="F283" s="15"/>
      <c r="G283" s="21"/>
      <c r="H283" s="5"/>
    </row>
    <row r="284" spans="1:8" x14ac:dyDescent="0.2">
      <c r="A284" s="15"/>
      <c r="B284" s="30"/>
      <c r="D284" s="16"/>
      <c r="E284" s="4"/>
      <c r="F284" s="4"/>
      <c r="G284" s="22"/>
      <c r="H284" s="5"/>
    </row>
    <row r="285" spans="1:8" x14ac:dyDescent="0.2">
      <c r="A285" s="28"/>
      <c r="B285" s="69"/>
      <c r="C285" s="69"/>
      <c r="D285" s="27"/>
      <c r="E285" s="27"/>
      <c r="F285" s="27"/>
      <c r="G285" s="20"/>
      <c r="H285" s="5"/>
    </row>
    <row r="286" spans="1:8" x14ac:dyDescent="0.2">
      <c r="A286" s="15"/>
      <c r="E286" s="4"/>
      <c r="F286" s="4"/>
      <c r="G286" s="21"/>
      <c r="H286" s="5"/>
    </row>
    <row r="287" spans="1:8" x14ac:dyDescent="0.2">
      <c r="A287" s="15"/>
      <c r="B287" s="16"/>
      <c r="C287" s="16"/>
      <c r="D287" s="16"/>
      <c r="E287" s="15"/>
      <c r="F287" s="15"/>
      <c r="G287" s="21"/>
      <c r="H287" s="5"/>
    </row>
    <row r="288" spans="1:8" x14ac:dyDescent="0.2">
      <c r="A288" s="15"/>
      <c r="B288" s="16"/>
      <c r="C288" s="16"/>
      <c r="D288" s="16"/>
      <c r="E288" s="15"/>
      <c r="F288" s="15"/>
      <c r="G288" s="21"/>
      <c r="H288" s="5"/>
    </row>
    <row r="289" spans="1:8" x14ac:dyDescent="0.2">
      <c r="A289" s="15"/>
      <c r="B289" s="16"/>
      <c r="C289" s="16"/>
      <c r="D289" s="16"/>
      <c r="E289" s="15"/>
      <c r="F289" s="15"/>
      <c r="G289" s="21"/>
      <c r="H289" s="5"/>
    </row>
    <row r="290" spans="1:8" x14ac:dyDescent="0.2">
      <c r="A290" s="26"/>
      <c r="B290" s="17"/>
      <c r="C290" s="17"/>
      <c r="D290" s="16"/>
      <c r="E290" s="26"/>
      <c r="F290" s="26"/>
      <c r="G290" s="21"/>
      <c r="H290" s="5"/>
    </row>
    <row r="291" spans="1:8" x14ac:dyDescent="0.2">
      <c r="A291" s="15"/>
      <c r="B291" s="16"/>
      <c r="C291" s="16"/>
      <c r="D291" s="16"/>
      <c r="E291" s="15"/>
      <c r="F291" s="15"/>
      <c r="G291" s="21"/>
      <c r="H291" s="5"/>
    </row>
    <row r="292" spans="1:8" x14ac:dyDescent="0.2">
      <c r="A292" s="15"/>
      <c r="B292" s="16"/>
      <c r="C292" s="16"/>
      <c r="D292" s="16"/>
      <c r="E292" s="15"/>
      <c r="F292" s="15"/>
      <c r="G292" s="21"/>
      <c r="H292" s="5"/>
    </row>
    <row r="293" spans="1:8" x14ac:dyDescent="0.2">
      <c r="A293" s="15"/>
      <c r="B293" s="16"/>
      <c r="C293" s="16"/>
      <c r="D293" s="16"/>
      <c r="E293" s="15"/>
      <c r="F293" s="15"/>
      <c r="G293" s="21"/>
      <c r="H293" s="5"/>
    </row>
    <row r="294" spans="1:8" x14ac:dyDescent="0.2">
      <c r="A294" s="15"/>
      <c r="B294" s="16"/>
      <c r="C294" s="16"/>
      <c r="D294" s="16"/>
      <c r="E294" s="15"/>
      <c r="F294" s="4"/>
      <c r="G294" s="21"/>
      <c r="H294" s="5"/>
    </row>
    <row r="295" spans="1:8" x14ac:dyDescent="0.2">
      <c r="A295" s="15"/>
      <c r="B295" s="16"/>
      <c r="C295" s="16"/>
      <c r="D295" s="16"/>
      <c r="E295" s="4"/>
      <c r="F295" s="4"/>
      <c r="G295" s="21"/>
      <c r="H295" s="5"/>
    </row>
    <row r="296" spans="1:8" x14ac:dyDescent="0.2">
      <c r="A296" s="29"/>
      <c r="B296" s="30"/>
      <c r="C296" s="30"/>
      <c r="D296" s="16"/>
      <c r="E296" s="29"/>
      <c r="F296" s="29"/>
      <c r="G296" s="21"/>
      <c r="H296" s="5"/>
    </row>
    <row r="297" spans="1:8" x14ac:dyDescent="0.2">
      <c r="A297" s="29"/>
      <c r="B297" s="30"/>
      <c r="C297" s="30"/>
      <c r="D297" s="16"/>
      <c r="E297" s="29"/>
      <c r="F297" s="29"/>
      <c r="G297" s="21"/>
      <c r="H297" s="5"/>
    </row>
    <row r="298" spans="1:8" x14ac:dyDescent="0.2">
      <c r="A298" s="29"/>
      <c r="B298" s="30"/>
      <c r="C298" s="30"/>
      <c r="D298" s="16"/>
      <c r="E298" s="29"/>
      <c r="F298" s="29"/>
      <c r="G298" s="21"/>
      <c r="H298" s="5"/>
    </row>
    <row r="299" spans="1:8" x14ac:dyDescent="0.2">
      <c r="A299" s="15"/>
      <c r="B299" s="30"/>
      <c r="E299" s="4"/>
      <c r="F299" s="4"/>
      <c r="G299" s="21"/>
      <c r="H299" s="5"/>
    </row>
    <row r="300" spans="1:8" x14ac:dyDescent="0.2">
      <c r="A300" s="15"/>
      <c r="B300" s="30"/>
      <c r="E300" s="4"/>
      <c r="F300" s="4"/>
      <c r="G300" s="21"/>
      <c r="H300" s="5"/>
    </row>
    <row r="301" spans="1:8" x14ac:dyDescent="0.2">
      <c r="A301" s="28"/>
      <c r="B301" s="69"/>
      <c r="C301" s="69"/>
      <c r="D301" s="27"/>
      <c r="E301" s="27"/>
      <c r="F301" s="27"/>
      <c r="G301" s="20"/>
      <c r="H301" s="5"/>
    </row>
    <row r="302" spans="1:8" x14ac:dyDescent="0.2">
      <c r="A302" s="15"/>
      <c r="E302" s="4"/>
      <c r="F302" s="4"/>
      <c r="G302" s="21"/>
      <c r="H302" s="5"/>
    </row>
    <row r="303" spans="1:8" x14ac:dyDescent="0.2">
      <c r="A303" s="15"/>
      <c r="B303" s="16"/>
      <c r="C303" s="16"/>
      <c r="D303" s="16"/>
      <c r="E303" s="15"/>
      <c r="F303" s="15"/>
      <c r="G303" s="21"/>
      <c r="H303" s="5"/>
    </row>
    <row r="304" spans="1:8" x14ac:dyDescent="0.2">
      <c r="A304" s="15"/>
      <c r="B304" s="16"/>
      <c r="C304" s="16"/>
      <c r="D304" s="16"/>
      <c r="E304" s="15"/>
      <c r="F304" s="15"/>
      <c r="G304" s="21"/>
      <c r="H304" s="5"/>
    </row>
    <row r="305" spans="1:8" x14ac:dyDescent="0.2">
      <c r="A305" s="15"/>
      <c r="B305" s="16"/>
      <c r="C305" s="16"/>
      <c r="D305" s="16"/>
      <c r="E305" s="15"/>
      <c r="F305" s="15"/>
      <c r="G305" s="21"/>
      <c r="H305" s="3"/>
    </row>
    <row r="306" spans="1:8" x14ac:dyDescent="0.2">
      <c r="A306" s="26"/>
      <c r="B306" s="17"/>
      <c r="C306" s="17"/>
      <c r="D306" s="16"/>
      <c r="E306" s="26"/>
      <c r="F306" s="26"/>
      <c r="G306" s="21"/>
      <c r="H306" s="3"/>
    </row>
    <row r="307" spans="1:8" x14ac:dyDescent="0.2">
      <c r="A307" s="15"/>
      <c r="B307" s="16"/>
      <c r="C307" s="16"/>
      <c r="D307" s="16"/>
      <c r="E307" s="15"/>
      <c r="F307" s="15"/>
      <c r="G307" s="21"/>
      <c r="H307" s="3"/>
    </row>
    <row r="308" spans="1:8" x14ac:dyDescent="0.2">
      <c r="A308" s="15"/>
      <c r="B308" s="16"/>
      <c r="C308" s="16"/>
      <c r="D308" s="16"/>
      <c r="E308" s="15"/>
      <c r="F308" s="15"/>
      <c r="G308" s="21"/>
    </row>
    <row r="309" spans="1:8" x14ac:dyDescent="0.2">
      <c r="A309" s="15"/>
      <c r="B309" s="16"/>
      <c r="C309" s="16"/>
      <c r="D309" s="16"/>
      <c r="E309" s="15"/>
      <c r="F309" s="15"/>
      <c r="G309" s="21"/>
      <c r="H309" s="6"/>
    </row>
    <row r="310" spans="1:8" x14ac:dyDescent="0.2">
      <c r="A310" s="15"/>
      <c r="B310" s="16"/>
      <c r="C310" s="16"/>
      <c r="D310" s="16"/>
      <c r="E310" s="15"/>
      <c r="F310" s="4"/>
      <c r="G310" s="21"/>
      <c r="H310" s="3"/>
    </row>
    <row r="311" spans="1:8" x14ac:dyDescent="0.2">
      <c r="A311" s="15"/>
      <c r="B311" s="16"/>
      <c r="C311" s="16"/>
      <c r="D311" s="16"/>
      <c r="E311" s="15"/>
      <c r="F311" s="4"/>
      <c r="G311" s="21"/>
      <c r="H311" s="3"/>
    </row>
    <row r="312" spans="1:8" x14ac:dyDescent="0.2">
      <c r="A312" s="29"/>
      <c r="B312" s="30"/>
      <c r="C312" s="30"/>
      <c r="D312" s="16"/>
      <c r="E312" s="29"/>
      <c r="F312" s="29"/>
      <c r="G312" s="21"/>
      <c r="H312" s="3"/>
    </row>
    <row r="313" spans="1:8" x14ac:dyDescent="0.2">
      <c r="A313" s="29"/>
      <c r="B313" s="30"/>
      <c r="C313" s="30"/>
      <c r="D313" s="16"/>
      <c r="E313" s="29"/>
      <c r="F313" s="29"/>
      <c r="G313" s="21"/>
      <c r="H313" s="3"/>
    </row>
    <row r="314" spans="1:8" x14ac:dyDescent="0.2">
      <c r="A314" s="29"/>
      <c r="B314" s="30"/>
      <c r="C314" s="30"/>
      <c r="D314" s="16"/>
      <c r="E314" s="29"/>
      <c r="F314" s="29"/>
      <c r="G314" s="21"/>
      <c r="H314" s="3"/>
    </row>
    <row r="315" spans="1:8" x14ac:dyDescent="0.2">
      <c r="A315" s="15"/>
      <c r="B315" s="30"/>
      <c r="C315" s="16"/>
      <c r="D315" s="16"/>
      <c r="E315" s="15"/>
      <c r="F315" s="4"/>
      <c r="G315" s="21"/>
      <c r="H315" s="3"/>
    </row>
    <row r="316" spans="1:8" x14ac:dyDescent="0.2">
      <c r="A316" s="15"/>
      <c r="B316" s="30"/>
      <c r="C316" s="16"/>
      <c r="D316" s="16"/>
      <c r="E316" s="4"/>
      <c r="F316" s="4"/>
      <c r="G316" s="21"/>
      <c r="H316" s="3"/>
    </row>
    <row r="317" spans="1:8" x14ac:dyDescent="0.2">
      <c r="A317" s="28"/>
      <c r="B317" s="69"/>
      <c r="C317" s="69"/>
      <c r="D317" s="27"/>
      <c r="E317" s="27"/>
      <c r="F317" s="27"/>
      <c r="G317" s="20"/>
      <c r="H317" s="3"/>
    </row>
    <row r="318" spans="1:8" x14ac:dyDescent="0.2">
      <c r="A318" s="15"/>
      <c r="B318" s="16"/>
      <c r="E318" s="4"/>
      <c r="F318" s="4"/>
      <c r="G318" s="21"/>
      <c r="H318" s="3"/>
    </row>
    <row r="319" spans="1:8" x14ac:dyDescent="0.2">
      <c r="A319" s="15"/>
      <c r="C319" s="16"/>
      <c r="D319" s="16"/>
      <c r="E319" s="15"/>
      <c r="F319" s="15"/>
      <c r="G319" s="21"/>
      <c r="H319" s="3"/>
    </row>
    <row r="320" spans="1:8" x14ac:dyDescent="0.2">
      <c r="A320" s="15"/>
      <c r="B320" s="16"/>
      <c r="C320" s="16"/>
      <c r="D320" s="16"/>
      <c r="E320" s="15"/>
      <c r="F320" s="15"/>
      <c r="G320" s="21"/>
      <c r="H320" s="3"/>
    </row>
    <row r="321" spans="1:8" x14ac:dyDescent="0.2">
      <c r="A321" s="15"/>
      <c r="B321" s="16"/>
      <c r="C321" s="16"/>
      <c r="D321" s="16"/>
      <c r="E321" s="4"/>
      <c r="F321" s="36"/>
      <c r="G321" s="21"/>
      <c r="H321" s="3"/>
    </row>
    <row r="322" spans="1:8" x14ac:dyDescent="0.2">
      <c r="A322" s="26"/>
      <c r="B322" s="17"/>
      <c r="C322" s="17"/>
      <c r="D322" s="16"/>
      <c r="E322" s="15"/>
      <c r="F322" s="26"/>
      <c r="G322" s="21"/>
      <c r="H322" s="3"/>
    </row>
    <row r="323" spans="1:8" x14ac:dyDescent="0.2">
      <c r="A323" s="15"/>
      <c r="B323" s="16"/>
      <c r="C323" s="16"/>
      <c r="D323" s="16"/>
      <c r="E323" s="15"/>
      <c r="F323" s="36"/>
      <c r="G323" s="21"/>
      <c r="H323" s="3"/>
    </row>
    <row r="324" spans="1:8" x14ac:dyDescent="0.2">
      <c r="A324" s="15"/>
      <c r="B324" s="16"/>
      <c r="C324" s="16"/>
      <c r="D324" s="16"/>
      <c r="E324" s="15"/>
      <c r="F324" s="36"/>
      <c r="G324" s="21"/>
      <c r="H324" s="3"/>
    </row>
    <row r="325" spans="1:8" x14ac:dyDescent="0.2">
      <c r="A325" s="4"/>
      <c r="B325" s="16"/>
      <c r="C325" s="16"/>
      <c r="D325" s="16"/>
      <c r="E325" s="15"/>
      <c r="F325" s="1"/>
      <c r="G325" s="21"/>
      <c r="H325" s="3"/>
    </row>
    <row r="326" spans="1:8" x14ac:dyDescent="0.2">
      <c r="A326" s="4"/>
      <c r="B326" s="16"/>
      <c r="C326" s="16"/>
      <c r="D326" s="16"/>
      <c r="E326" s="15"/>
      <c r="F326" s="1"/>
      <c r="G326" s="21"/>
      <c r="H326" s="3"/>
    </row>
    <row r="327" spans="1:8" x14ac:dyDescent="0.2">
      <c r="A327" s="4"/>
      <c r="B327" s="16"/>
      <c r="C327" s="16"/>
      <c r="D327" s="16"/>
      <c r="E327" s="15"/>
      <c r="F327" s="1"/>
      <c r="G327" s="21"/>
      <c r="H327" s="3"/>
    </row>
    <row r="328" spans="1:8" x14ac:dyDescent="0.2">
      <c r="A328" s="29"/>
      <c r="B328" s="30"/>
      <c r="C328" s="30"/>
      <c r="D328" s="16"/>
      <c r="E328" s="29"/>
      <c r="F328" s="37"/>
      <c r="G328" s="21"/>
      <c r="H328" s="3"/>
    </row>
    <row r="329" spans="1:8" x14ac:dyDescent="0.2">
      <c r="A329" s="29"/>
      <c r="B329" s="30"/>
      <c r="C329" s="30"/>
      <c r="D329" s="16"/>
      <c r="E329" s="29"/>
      <c r="F329" s="37"/>
      <c r="G329" s="21"/>
      <c r="H329" s="3"/>
    </row>
    <row r="330" spans="1:8" x14ac:dyDescent="0.2">
      <c r="A330" s="29"/>
      <c r="B330" s="30"/>
      <c r="C330" s="30"/>
      <c r="D330" s="16"/>
      <c r="E330" s="29"/>
      <c r="F330" s="37"/>
      <c r="G330" s="21"/>
      <c r="H330" s="3"/>
    </row>
    <row r="331" spans="1:8" x14ac:dyDescent="0.2">
      <c r="A331" s="4"/>
      <c r="B331" s="30"/>
      <c r="D331" s="16"/>
      <c r="E331" s="29"/>
      <c r="F331" s="1"/>
      <c r="G331" s="3"/>
      <c r="H331" s="3"/>
    </row>
    <row r="332" spans="1:8" x14ac:dyDescent="0.2">
      <c r="A332" s="4"/>
      <c r="B332" s="30"/>
      <c r="D332" s="16"/>
      <c r="E332" s="29"/>
      <c r="F332" s="1"/>
      <c r="G332" s="3"/>
      <c r="H332" s="3"/>
    </row>
    <row r="333" spans="1:8" x14ac:dyDescent="0.2">
      <c r="A333" s="4"/>
      <c r="G333" s="3"/>
      <c r="H333" s="3"/>
    </row>
  </sheetData>
  <mergeCells count="31">
    <mergeCell ref="B188:C188"/>
    <mergeCell ref="B45:C45"/>
    <mergeCell ref="B54:C54"/>
    <mergeCell ref="B63:C63"/>
    <mergeCell ref="B72:C72"/>
    <mergeCell ref="B81:C81"/>
    <mergeCell ref="B165:C165"/>
    <mergeCell ref="B177:C177"/>
    <mergeCell ref="B1:C1"/>
    <mergeCell ref="B205:C205"/>
    <mergeCell ref="B237:C237"/>
    <mergeCell ref="B8:C8"/>
    <mergeCell ref="B15:C15"/>
    <mergeCell ref="B22:C22"/>
    <mergeCell ref="B29:C29"/>
    <mergeCell ref="B36:C36"/>
    <mergeCell ref="B71:C71"/>
    <mergeCell ref="B105:C105"/>
    <mergeCell ref="B93:C93"/>
    <mergeCell ref="B117:C117"/>
    <mergeCell ref="B128:C128"/>
    <mergeCell ref="B129:C129"/>
    <mergeCell ref="B141:C141"/>
    <mergeCell ref="B153:C153"/>
    <mergeCell ref="B301:C301"/>
    <mergeCell ref="B317:C317"/>
    <mergeCell ref="B189:C189"/>
    <mergeCell ref="B221:C221"/>
    <mergeCell ref="B253:C253"/>
    <mergeCell ref="B269:C269"/>
    <mergeCell ref="B285:C28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dose</vt:lpstr>
      <vt:lpstr>feces pos ttmnt - 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2019-08-28T20:54:54Z</dcterms:created>
  <dcterms:modified xsi:type="dcterms:W3CDTF">2021-06-21T12:45:14Z</dcterms:modified>
</cp:coreProperties>
</file>