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4/Mouse GI carriage/"/>
    </mc:Choice>
  </mc:AlternateContent>
  <xr:revisionPtr revIDLastSave="0" documentId="13_ncr:1_{44A736F4-672E-2846-A4C7-98500F58278B}" xr6:coauthVersionLast="47" xr6:coauthVersionMax="47" xr10:uidLastSave="{00000000-0000-0000-0000-000000000000}"/>
  <bookViews>
    <workbookView xWindow="30560" yWindow="500" windowWidth="14000" windowHeight="17500" xr2:uid="{05D28018-5EC7-B748-ACA7-09DD0AD3B70C}"/>
  </bookViews>
  <sheets>
    <sheet name="dose" sheetId="4" r:id="rId1"/>
    <sheet name="day 3 organs " sheetId="8" r:id="rId2"/>
    <sheet name="day 7 organs" sheetId="9" r:id="rId3"/>
    <sheet name="day 14 organs" sheetId="10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54" i="10" l="1"/>
  <c r="G53" i="10"/>
  <c r="G52" i="10"/>
  <c r="G51" i="10"/>
  <c r="G50" i="10"/>
  <c r="G49" i="10"/>
  <c r="G48" i="10"/>
  <c r="G47" i="10"/>
  <c r="G46" i="10"/>
  <c r="H36" i="10"/>
  <c r="H37" i="10"/>
  <c r="H38" i="10"/>
  <c r="H39" i="10"/>
  <c r="G43" i="10"/>
  <c r="G42" i="10"/>
  <c r="G41" i="10"/>
  <c r="G40" i="10"/>
  <c r="G39" i="10"/>
  <c r="G38" i="10"/>
  <c r="G37" i="10"/>
  <c r="G36" i="10"/>
  <c r="G35" i="10"/>
  <c r="H25" i="10"/>
  <c r="G32" i="10"/>
  <c r="G31" i="10"/>
  <c r="G30" i="10"/>
  <c r="G29" i="10"/>
  <c r="G28" i="10"/>
  <c r="G27" i="10"/>
  <c r="G26" i="10"/>
  <c r="G25" i="10"/>
  <c r="G24" i="10"/>
  <c r="H13" i="10"/>
  <c r="H20" i="10"/>
  <c r="H19" i="10"/>
  <c r="H18" i="10"/>
  <c r="H16" i="10"/>
  <c r="G21" i="10"/>
  <c r="G20" i="10"/>
  <c r="G19" i="10"/>
  <c r="G18" i="10"/>
  <c r="G17" i="10"/>
  <c r="G16" i="10"/>
  <c r="G15" i="10"/>
  <c r="G14" i="10"/>
  <c r="G13" i="10"/>
  <c r="H5" i="10"/>
  <c r="G6" i="10"/>
  <c r="G5" i="10"/>
  <c r="G4" i="10"/>
  <c r="G3" i="10"/>
  <c r="G2" i="10"/>
  <c r="G10" i="10"/>
  <c r="G9" i="10"/>
  <c r="G8" i="10"/>
  <c r="G7" i="10"/>
  <c r="H7" i="10"/>
  <c r="G54" i="9"/>
  <c r="G53" i="9"/>
  <c r="G52" i="9"/>
  <c r="G51" i="9"/>
  <c r="G50" i="9"/>
  <c r="G49" i="9"/>
  <c r="G48" i="9"/>
  <c r="G47" i="9"/>
  <c r="G46" i="9"/>
  <c r="G43" i="9"/>
  <c r="G42" i="9"/>
  <c r="G41" i="9"/>
  <c r="G40" i="9"/>
  <c r="G39" i="9"/>
  <c r="G38" i="9"/>
  <c r="G37" i="9"/>
  <c r="G36" i="9"/>
  <c r="H36" i="9" s="1"/>
  <c r="G35" i="9"/>
  <c r="G32" i="9"/>
  <c r="G31" i="9"/>
  <c r="G30" i="9"/>
  <c r="G29" i="9"/>
  <c r="G28" i="9"/>
  <c r="G27" i="9"/>
  <c r="G26" i="9"/>
  <c r="G25" i="9"/>
  <c r="G24" i="9"/>
  <c r="H54" i="9"/>
  <c r="H53" i="9"/>
  <c r="H52" i="9"/>
  <c r="H51" i="9"/>
  <c r="H43" i="9"/>
  <c r="H42" i="9"/>
  <c r="H41" i="9"/>
  <c r="H40" i="9"/>
  <c r="H32" i="9"/>
  <c r="H31" i="9"/>
  <c r="H30" i="9"/>
  <c r="H29" i="9"/>
  <c r="H21" i="9"/>
  <c r="H20" i="9"/>
  <c r="H19" i="9"/>
  <c r="H18" i="9"/>
  <c r="G21" i="9"/>
  <c r="G20" i="9"/>
  <c r="G19" i="9"/>
  <c r="G18" i="9"/>
  <c r="G17" i="9"/>
  <c r="G16" i="9"/>
  <c r="G15" i="9"/>
  <c r="G14" i="9"/>
  <c r="G13" i="9"/>
  <c r="J38" i="8"/>
  <c r="J2" i="8"/>
  <c r="J3" i="8"/>
  <c r="H8" i="9"/>
  <c r="H9" i="9"/>
  <c r="H10" i="9"/>
  <c r="H7" i="9"/>
  <c r="G10" i="9"/>
  <c r="G9" i="9"/>
  <c r="G8" i="9"/>
  <c r="G7" i="9"/>
  <c r="G6" i="9"/>
  <c r="G5" i="9"/>
  <c r="G4" i="9"/>
  <c r="G3" i="9"/>
  <c r="G2" i="9"/>
  <c r="J53" i="8"/>
  <c r="J52" i="8"/>
  <c r="J54" i="8"/>
  <c r="J51" i="8"/>
  <c r="J48" i="8"/>
  <c r="J49" i="8"/>
  <c r="J50" i="8"/>
  <c r="J47" i="8"/>
  <c r="J46" i="8"/>
  <c r="J35" i="8"/>
  <c r="J41" i="8"/>
  <c r="J42" i="8"/>
  <c r="J43" i="8"/>
  <c r="J40" i="8"/>
  <c r="J37" i="8"/>
  <c r="J39" i="8"/>
  <c r="J36" i="8"/>
  <c r="J30" i="8"/>
  <c r="J31" i="8"/>
  <c r="J32" i="8"/>
  <c r="J29" i="8"/>
  <c r="J20" i="8"/>
  <c r="J26" i="8"/>
  <c r="J27" i="8"/>
  <c r="J28" i="8"/>
  <c r="J25" i="8"/>
  <c r="J24" i="8"/>
  <c r="J14" i="8"/>
  <c r="J15" i="8"/>
  <c r="J4" i="8"/>
  <c r="H47" i="8"/>
  <c r="G54" i="8"/>
  <c r="G53" i="8"/>
  <c r="G52" i="8"/>
  <c r="G51" i="8"/>
  <c r="G50" i="8"/>
  <c r="G49" i="8"/>
  <c r="G48" i="8"/>
  <c r="G47" i="8"/>
  <c r="G46" i="8"/>
  <c r="H46" i="8"/>
  <c r="H36" i="8"/>
  <c r="H41" i="8"/>
  <c r="G43" i="8"/>
  <c r="G42" i="8"/>
  <c r="G41" i="8"/>
  <c r="G40" i="8"/>
  <c r="G39" i="8"/>
  <c r="G38" i="8"/>
  <c r="G37" i="8"/>
  <c r="G36" i="8"/>
  <c r="G35" i="8"/>
  <c r="H27" i="8"/>
  <c r="G32" i="8"/>
  <c r="G31" i="8"/>
  <c r="G30" i="8"/>
  <c r="G29" i="8"/>
  <c r="G28" i="8"/>
  <c r="G27" i="8"/>
  <c r="G26" i="8"/>
  <c r="G25" i="8"/>
  <c r="G24" i="8"/>
  <c r="G21" i="8"/>
  <c r="G20" i="8"/>
  <c r="H20" i="8" s="1"/>
  <c r="G19" i="8"/>
  <c r="G18" i="8"/>
  <c r="G17" i="8"/>
  <c r="G16" i="8"/>
  <c r="G15" i="8"/>
  <c r="G14" i="8"/>
  <c r="G13" i="8"/>
  <c r="G10" i="8"/>
  <c r="G9" i="8"/>
  <c r="G8" i="8"/>
  <c r="G7" i="8"/>
  <c r="G6" i="8"/>
  <c r="G5" i="8"/>
  <c r="G4" i="8"/>
  <c r="G3" i="8"/>
  <c r="G2" i="8"/>
  <c r="G2" i="4"/>
  <c r="F2" i="4"/>
  <c r="E3" i="4"/>
  <c r="E2" i="4"/>
  <c r="H47" i="10"/>
  <c r="H31" i="10"/>
  <c r="H9" i="10"/>
  <c r="D54" i="10"/>
  <c r="H54" i="10" s="1"/>
  <c r="D53" i="10"/>
  <c r="H53" i="10" s="1"/>
  <c r="D52" i="10"/>
  <c r="H52" i="10" s="1"/>
  <c r="H51" i="10"/>
  <c r="D51" i="10"/>
  <c r="D50" i="10"/>
  <c r="H50" i="10" s="1"/>
  <c r="D49" i="10"/>
  <c r="D48" i="10"/>
  <c r="H48" i="10" s="1"/>
  <c r="D47" i="10"/>
  <c r="D46" i="10"/>
  <c r="D43" i="10"/>
  <c r="D42" i="10"/>
  <c r="D41" i="10"/>
  <c r="H41" i="10" s="1"/>
  <c r="D40" i="10"/>
  <c r="H40" i="10" s="1"/>
  <c r="D39" i="10"/>
  <c r="D38" i="10"/>
  <c r="D37" i="10"/>
  <c r="D36" i="10"/>
  <c r="D35" i="10"/>
  <c r="H32" i="10"/>
  <c r="D32" i="10"/>
  <c r="D31" i="10"/>
  <c r="H30" i="10"/>
  <c r="D30" i="10"/>
  <c r="D29" i="10"/>
  <c r="H29" i="10" s="1"/>
  <c r="D28" i="10"/>
  <c r="H28" i="10" s="1"/>
  <c r="D27" i="10"/>
  <c r="H27" i="10" s="1"/>
  <c r="D26" i="10"/>
  <c r="H26" i="10" s="1"/>
  <c r="D25" i="10"/>
  <c r="D24" i="10"/>
  <c r="H24" i="10" s="1"/>
  <c r="D21" i="10"/>
  <c r="H21" i="10" s="1"/>
  <c r="D20" i="10"/>
  <c r="D19" i="10"/>
  <c r="D18" i="10"/>
  <c r="D17" i="10"/>
  <c r="H17" i="10" s="1"/>
  <c r="D16" i="10"/>
  <c r="D15" i="10"/>
  <c r="D14" i="10"/>
  <c r="D13" i="10"/>
  <c r="H10" i="10"/>
  <c r="D10" i="10"/>
  <c r="D9" i="10"/>
  <c r="D8" i="10"/>
  <c r="D7" i="10"/>
  <c r="D6" i="10"/>
  <c r="D5" i="10"/>
  <c r="D4" i="10"/>
  <c r="H4" i="10" s="1"/>
  <c r="D3" i="10"/>
  <c r="D2" i="10"/>
  <c r="D10" i="9"/>
  <c r="H53" i="8"/>
  <c r="H35" i="8"/>
  <c r="H24" i="8"/>
  <c r="H19" i="8"/>
  <c r="H18" i="8"/>
  <c r="H13" i="8"/>
  <c r="D54" i="9"/>
  <c r="D53" i="9"/>
  <c r="D52" i="9"/>
  <c r="D51" i="9"/>
  <c r="D50" i="9"/>
  <c r="H50" i="9" s="1"/>
  <c r="D49" i="9"/>
  <c r="H49" i="9" s="1"/>
  <c r="D48" i="9"/>
  <c r="H48" i="9" s="1"/>
  <c r="D47" i="9"/>
  <c r="D46" i="9"/>
  <c r="H46" i="9" s="1"/>
  <c r="D43" i="9"/>
  <c r="D42" i="9"/>
  <c r="D41" i="9"/>
  <c r="D40" i="9"/>
  <c r="D39" i="9"/>
  <c r="H39" i="9" s="1"/>
  <c r="D38" i="9"/>
  <c r="H38" i="9" s="1"/>
  <c r="D37" i="9"/>
  <c r="H37" i="9" s="1"/>
  <c r="D36" i="9"/>
  <c r="D35" i="9"/>
  <c r="H35" i="9" s="1"/>
  <c r="D32" i="9"/>
  <c r="D31" i="9"/>
  <c r="D30" i="9"/>
  <c r="D29" i="9"/>
  <c r="D28" i="9"/>
  <c r="H28" i="9" s="1"/>
  <c r="D27" i="9"/>
  <c r="H27" i="9" s="1"/>
  <c r="D26" i="9"/>
  <c r="H26" i="9" s="1"/>
  <c r="D25" i="9"/>
  <c r="H25" i="9" s="1"/>
  <c r="D24" i="9"/>
  <c r="H24" i="9" s="1"/>
  <c r="D21" i="9"/>
  <c r="D20" i="9"/>
  <c r="D19" i="9"/>
  <c r="D18" i="9"/>
  <c r="D17" i="9"/>
  <c r="H17" i="9" s="1"/>
  <c r="D16" i="9"/>
  <c r="D15" i="9"/>
  <c r="D14" i="9"/>
  <c r="D13" i="9"/>
  <c r="H13" i="9" s="1"/>
  <c r="D9" i="9"/>
  <c r="D8" i="9"/>
  <c r="D7" i="9"/>
  <c r="D6" i="9"/>
  <c r="H6" i="9" s="1"/>
  <c r="D5" i="9"/>
  <c r="H5" i="9" s="1"/>
  <c r="D4" i="9"/>
  <c r="H4" i="9" s="1"/>
  <c r="D3" i="9"/>
  <c r="H3" i="9" s="1"/>
  <c r="D2" i="9"/>
  <c r="H2" i="9" s="1"/>
  <c r="D54" i="8"/>
  <c r="H54" i="8" s="1"/>
  <c r="D53" i="8"/>
  <c r="D52" i="8"/>
  <c r="H52" i="8" s="1"/>
  <c r="D51" i="8"/>
  <c r="H51" i="8" s="1"/>
  <c r="D50" i="8"/>
  <c r="D49" i="8"/>
  <c r="H49" i="8" s="1"/>
  <c r="D48" i="8"/>
  <c r="H48" i="8" s="1"/>
  <c r="D47" i="8"/>
  <c r="D46" i="8"/>
  <c r="D43" i="8"/>
  <c r="H43" i="8" s="1"/>
  <c r="D42" i="8"/>
  <c r="D41" i="8"/>
  <c r="D40" i="8"/>
  <c r="H40" i="8" s="1"/>
  <c r="D39" i="8"/>
  <c r="H39" i="8" s="1"/>
  <c r="D38" i="8"/>
  <c r="H38" i="8" s="1"/>
  <c r="D37" i="8"/>
  <c r="H37" i="8" s="1"/>
  <c r="D36" i="8"/>
  <c r="D35" i="8"/>
  <c r="D32" i="8"/>
  <c r="H32" i="8" s="1"/>
  <c r="D31" i="8"/>
  <c r="H31" i="8" s="1"/>
  <c r="D30" i="8"/>
  <c r="H30" i="8" s="1"/>
  <c r="D29" i="8"/>
  <c r="D28" i="8"/>
  <c r="D27" i="8"/>
  <c r="D26" i="8"/>
  <c r="H26" i="8" s="1"/>
  <c r="D25" i="8"/>
  <c r="H25" i="8" s="1"/>
  <c r="D24" i="8"/>
  <c r="D21" i="8"/>
  <c r="H21" i="8" s="1"/>
  <c r="D20" i="8"/>
  <c r="D19" i="8"/>
  <c r="D18" i="8"/>
  <c r="D17" i="8"/>
  <c r="H17" i="8" s="1"/>
  <c r="D16" i="8"/>
  <c r="H16" i="8" s="1"/>
  <c r="D15" i="8"/>
  <c r="H15" i="8" s="1"/>
  <c r="D14" i="8"/>
  <c r="D13" i="8"/>
  <c r="D10" i="8"/>
  <c r="D9" i="8"/>
  <c r="H9" i="8" s="1"/>
  <c r="D8" i="8"/>
  <c r="H8" i="8" s="1"/>
  <c r="D7" i="8"/>
  <c r="H7" i="8" s="1"/>
  <c r="D6" i="8"/>
  <c r="D5" i="8"/>
  <c r="D4" i="8"/>
  <c r="H4" i="8" s="1"/>
  <c r="D3" i="8"/>
  <c r="H3" i="8" s="1"/>
  <c r="D2" i="8"/>
  <c r="H47" i="9" l="1"/>
  <c r="H16" i="9"/>
  <c r="H50" i="8"/>
  <c r="J18" i="8"/>
  <c r="H14" i="8"/>
  <c r="J21" i="8"/>
  <c r="J6" i="8"/>
  <c r="J5" i="8"/>
  <c r="J17" i="8"/>
  <c r="J19" i="8"/>
  <c r="J16" i="8"/>
  <c r="J13" i="8"/>
  <c r="H46" i="10"/>
  <c r="H42" i="10"/>
  <c r="H14" i="10"/>
  <c r="H8" i="10"/>
  <c r="H6" i="10"/>
  <c r="H3" i="10"/>
  <c r="H2" i="10"/>
  <c r="H49" i="10"/>
  <c r="H35" i="10"/>
  <c r="H43" i="10"/>
  <c r="H15" i="10"/>
  <c r="H15" i="9"/>
  <c r="H14" i="9"/>
  <c r="H42" i="8"/>
  <c r="H29" i="8"/>
  <c r="H28" i="8"/>
  <c r="H5" i="8"/>
  <c r="H2" i="8"/>
  <c r="H6" i="8"/>
  <c r="H10" i="8"/>
</calcChain>
</file>

<file path=xl/sharedStrings.xml><?xml version="1.0" encoding="utf-8"?>
<sst xmlns="http://schemas.openxmlformats.org/spreadsheetml/2006/main" count="249" uniqueCount="42">
  <si>
    <t>number of CFU (not diluted)</t>
  </si>
  <si>
    <t>mean in 10 µL</t>
  </si>
  <si>
    <t>Dilution factor</t>
  </si>
  <si>
    <t>Colony Count</t>
  </si>
  <si>
    <t>Dilution Factor</t>
  </si>
  <si>
    <t>Average CFUs</t>
  </si>
  <si>
    <t>Log CFUs</t>
  </si>
  <si>
    <t>CFUs/50uL</t>
  </si>
  <si>
    <t>OD reached</t>
  </si>
  <si>
    <t>stomach</t>
  </si>
  <si>
    <t>small intestine</t>
  </si>
  <si>
    <t>caecum</t>
  </si>
  <si>
    <t>colon</t>
  </si>
  <si>
    <t>feces</t>
  </si>
  <si>
    <t xml:space="preserve">spleen </t>
  </si>
  <si>
    <t>liver</t>
  </si>
  <si>
    <t xml:space="preserve">Gall bladder </t>
  </si>
  <si>
    <t>organ weights (mg)</t>
  </si>
  <si>
    <t>Log10 CFU/g of organ</t>
  </si>
  <si>
    <t>lungs</t>
  </si>
  <si>
    <t>BL048 10^8 LB (VBM plates)</t>
  </si>
  <si>
    <t xml:space="preserve">BL048 day 3 mouse 1 </t>
  </si>
  <si>
    <t>BL048 day 3 mouse 2</t>
  </si>
  <si>
    <t>BL048 day 3 mouse 3</t>
  </si>
  <si>
    <t>BL048 day 3 mouse 4</t>
  </si>
  <si>
    <t>BL048 day 3 mouse 5</t>
  </si>
  <si>
    <t>BL048 day 7 mouse 6</t>
  </si>
  <si>
    <t>BL048 day 7 mouse 7</t>
  </si>
  <si>
    <t>BL048 day 7 mouse 8</t>
  </si>
  <si>
    <t>BL048 day 7 mouse 9</t>
  </si>
  <si>
    <t>BL048 day 7 mouse 10</t>
  </si>
  <si>
    <t>number of CFU in 10µL (not diluted)</t>
  </si>
  <si>
    <t>CFU in 100µL</t>
  </si>
  <si>
    <t>BL048 day 14 mouse 12</t>
  </si>
  <si>
    <t>BL048 day 14 mouse 13</t>
  </si>
  <si>
    <t>BL048 day 14 mouse 14</t>
  </si>
  <si>
    <t>BL048 day 14 mouse 15</t>
  </si>
  <si>
    <t>% Bacteria per organ</t>
  </si>
  <si>
    <t>BL048 day 14 mouse 11</t>
  </si>
  <si>
    <t>Gall bladder</t>
  </si>
  <si>
    <t>10 x 0.149</t>
  </si>
  <si>
    <t>Gall bladder - popped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</si>
</sst>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AEA1"/>
        <bgColor indexed="64"/>
      </patternFill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0" fontId="0" fillId="0" borderId="2" xfId="0" applyBorder="1"/>
    <xf numFmtId="11" fontId="0" fillId="0" borderId="2" xfId="0" applyNumberFormat="1" applyBorder="1" applyAlignment="1">
      <alignment horizontal="center" vertical="center"/>
    </xf>
    <xf numFmtId="0" fontId="0" fillId="0" borderId="5" xfId="0" applyBorder="1"/>
    <xf numFmtId="11" fontId="0" fillId="0" borderId="5" xfId="0" applyNumberFormat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11" fontId="0" fillId="0" borderId="0" xfId="0" applyNumberFormat="1" applyAlignment="1">
      <alignment vertical="center"/>
    </xf>
    <xf numFmtId="165" fontId="0" fillId="0" borderId="0" xfId="0" applyNumberFormat="1" applyAlignment="1">
      <alignment vertical="center"/>
    </xf>
    <xf numFmtId="0" fontId="0" fillId="0" borderId="0" xfId="0" applyAlignment="1">
      <alignment vertical="center"/>
    </xf>
    <xf numFmtId="2" fontId="0" fillId="0" borderId="0" xfId="0" applyNumberFormat="1" applyAlignment="1">
      <alignment horizontal="center" vertical="center"/>
    </xf>
    <xf numFmtId="0" fontId="0" fillId="4" borderId="0" xfId="0" applyFill="1"/>
    <xf numFmtId="0" fontId="0" fillId="3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11" fontId="0" fillId="0" borderId="5" xfId="0" applyNumberForma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 vertical="center"/>
    </xf>
    <xf numFmtId="165" fontId="0" fillId="2" borderId="6" xfId="0" applyNumberFormat="1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AEA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F7DC7F-669D-5C4E-BF84-4ABE314598C7}">
  <dimension ref="B1:I15"/>
  <sheetViews>
    <sheetView tabSelected="1" workbookViewId="0">
      <selection activeCell="I4" sqref="I4"/>
    </sheetView>
  </sheetViews>
  <sheetFormatPr baseColWidth="10" defaultRowHeight="16" x14ac:dyDescent="0.2"/>
  <cols>
    <col min="2" max="2" width="14.83203125" customWidth="1"/>
  </cols>
  <sheetData>
    <row r="1" spans="2:9" x14ac:dyDescent="0.2">
      <c r="B1" s="1"/>
      <c r="C1" s="5" t="s">
        <v>3</v>
      </c>
      <c r="D1" s="5" t="s">
        <v>4</v>
      </c>
      <c r="E1" s="5" t="s">
        <v>7</v>
      </c>
      <c r="F1" s="5" t="s">
        <v>5</v>
      </c>
      <c r="G1" s="5" t="s">
        <v>6</v>
      </c>
      <c r="I1" s="5" t="s">
        <v>8</v>
      </c>
    </row>
    <row r="2" spans="2:9" x14ac:dyDescent="0.2">
      <c r="B2" s="20" t="s">
        <v>20</v>
      </c>
      <c r="C2" s="9">
        <v>76</v>
      </c>
      <c r="D2" s="10">
        <v>100000</v>
      </c>
      <c r="E2" s="10">
        <f>C2*5*D2</f>
        <v>38000000</v>
      </c>
      <c r="F2" s="22">
        <f>AVERAGE(E2:E3)</f>
        <v>40500000</v>
      </c>
      <c r="G2" s="24">
        <f>LOG10(F2)</f>
        <v>7.6074550232146683</v>
      </c>
      <c r="I2" s="19" t="s">
        <v>40</v>
      </c>
    </row>
    <row r="3" spans="2:9" x14ac:dyDescent="0.2">
      <c r="B3" s="21"/>
      <c r="C3" s="11">
        <v>86</v>
      </c>
      <c r="D3" s="12">
        <v>100000</v>
      </c>
      <c r="E3" s="12">
        <f>C3*5*D3</f>
        <v>43000000</v>
      </c>
      <c r="F3" s="23"/>
      <c r="G3" s="25"/>
      <c r="I3" s="19"/>
    </row>
    <row r="4" spans="2:9" x14ac:dyDescent="0.2">
      <c r="B4" s="6"/>
      <c r="D4" s="13"/>
      <c r="E4" s="13"/>
      <c r="F4" s="14"/>
      <c r="G4" s="15"/>
      <c r="I4" s="16"/>
    </row>
    <row r="5" spans="2:9" x14ac:dyDescent="0.2">
      <c r="B5" s="6"/>
      <c r="D5" s="13"/>
      <c r="E5" s="13"/>
      <c r="F5" s="14"/>
      <c r="G5" s="15"/>
      <c r="I5" s="16"/>
    </row>
    <row r="6" spans="2:9" x14ac:dyDescent="0.2">
      <c r="B6" s="6"/>
      <c r="D6" s="13"/>
      <c r="E6" s="13"/>
      <c r="F6" s="14"/>
      <c r="G6" s="15"/>
      <c r="I6" s="16"/>
    </row>
    <row r="7" spans="2:9" x14ac:dyDescent="0.2">
      <c r="B7" s="6"/>
      <c r="D7" s="13"/>
      <c r="E7" s="13"/>
      <c r="F7" s="14"/>
      <c r="G7" s="15"/>
      <c r="I7" s="16"/>
    </row>
    <row r="8" spans="2:9" x14ac:dyDescent="0.2">
      <c r="B8" s="6"/>
      <c r="D8" s="13"/>
      <c r="E8" s="13"/>
      <c r="F8" s="14"/>
      <c r="G8" s="15"/>
      <c r="I8" s="16"/>
    </row>
    <row r="9" spans="2:9" x14ac:dyDescent="0.2">
      <c r="B9" s="6"/>
      <c r="D9" s="13"/>
      <c r="E9" s="13"/>
      <c r="F9" s="14"/>
      <c r="G9" s="15"/>
      <c r="I9" s="16"/>
    </row>
    <row r="10" spans="2:9" x14ac:dyDescent="0.2">
      <c r="B10" s="4"/>
      <c r="D10" s="13"/>
      <c r="E10" s="13"/>
      <c r="F10" s="13"/>
      <c r="G10" s="17"/>
      <c r="I10" s="1"/>
    </row>
    <row r="11" spans="2:9" x14ac:dyDescent="0.2">
      <c r="B11" s="4"/>
      <c r="D11" s="13"/>
      <c r="E11" s="13"/>
      <c r="F11" s="13"/>
      <c r="G11" s="17"/>
      <c r="I11" s="1"/>
    </row>
    <row r="12" spans="2:9" x14ac:dyDescent="0.2">
      <c r="B12" s="4"/>
      <c r="D12" s="13"/>
      <c r="E12" s="13"/>
      <c r="F12" s="13"/>
      <c r="G12" s="17"/>
      <c r="I12" s="1"/>
    </row>
    <row r="13" spans="2:9" x14ac:dyDescent="0.2">
      <c r="B13" s="4"/>
      <c r="D13" s="13"/>
      <c r="E13" s="13"/>
      <c r="F13" s="13"/>
      <c r="G13" s="17"/>
      <c r="I13" s="1"/>
    </row>
    <row r="14" spans="2:9" x14ac:dyDescent="0.2">
      <c r="B14" s="6"/>
      <c r="D14" s="13"/>
      <c r="E14" s="13"/>
      <c r="F14" s="14"/>
      <c r="G14" s="16"/>
    </row>
    <row r="15" spans="2:9" x14ac:dyDescent="0.2">
      <c r="B15" s="6"/>
      <c r="D15" s="13"/>
      <c r="E15" s="13"/>
      <c r="F15" s="14"/>
      <c r="G15" s="16"/>
    </row>
  </sheetData>
  <mergeCells count="4">
    <mergeCell ref="I2:I3"/>
    <mergeCell ref="B2:B3"/>
    <mergeCell ref="F2:F3"/>
    <mergeCell ref="G2:G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410D40-A0F0-F947-8ED7-257928757B1D}">
  <dimension ref="A1:J54"/>
  <sheetViews>
    <sheetView topLeftCell="A31" zoomScale="81" workbookViewId="0">
      <selection activeCell="G46" sqref="G46"/>
    </sheetView>
  </sheetViews>
  <sheetFormatPr baseColWidth="10" defaultRowHeight="16" x14ac:dyDescent="0.2"/>
  <cols>
    <col min="1" max="1" width="19" customWidth="1"/>
    <col min="6" max="6" width="10.83203125" style="1"/>
    <col min="10" max="10" width="12.1640625" bestFit="1" customWidth="1"/>
  </cols>
  <sheetData>
    <row r="1" spans="1:10" ht="51" x14ac:dyDescent="0.2">
      <c r="A1" s="2" t="s">
        <v>21</v>
      </c>
      <c r="B1" s="26" t="s">
        <v>31</v>
      </c>
      <c r="C1" s="26"/>
      <c r="D1" s="4" t="s">
        <v>1</v>
      </c>
      <c r="E1" s="4" t="s">
        <v>2</v>
      </c>
      <c r="F1" s="4" t="s">
        <v>32</v>
      </c>
      <c r="G1" s="4" t="s">
        <v>17</v>
      </c>
      <c r="H1" s="7" t="s">
        <v>18</v>
      </c>
      <c r="J1" s="4" t="s">
        <v>37</v>
      </c>
    </row>
    <row r="2" spans="1:10" x14ac:dyDescent="0.2">
      <c r="A2" s="3" t="s">
        <v>9</v>
      </c>
      <c r="B2">
        <v>74</v>
      </c>
      <c r="D2">
        <f>AVERAGE(B2:C2)</f>
        <v>74</v>
      </c>
      <c r="E2" s="3">
        <v>1</v>
      </c>
      <c r="G2" s="3">
        <f>2109.1-1788.3</f>
        <v>320.79999999999995</v>
      </c>
      <c r="H2" s="8">
        <f>LOG10(D2*100*E2/G2*1000)</f>
        <v>4.3629973601188503</v>
      </c>
      <c r="J2">
        <f>(D2*E2)/(D$3*E$3+D$4*E$4+D$5*E$5+D$6*E$6)</f>
        <v>9.7128794093519276E-5</v>
      </c>
    </row>
    <row r="3" spans="1:10" x14ac:dyDescent="0.2">
      <c r="A3" s="3" t="s">
        <v>10</v>
      </c>
      <c r="B3">
        <v>87</v>
      </c>
      <c r="C3">
        <v>80</v>
      </c>
      <c r="D3">
        <f t="shared" ref="D3:D10" si="0">AVERAGE(B3:C3)</f>
        <v>83.5</v>
      </c>
      <c r="E3" s="3">
        <v>100</v>
      </c>
      <c r="G3" s="3">
        <f>3367.8-1776</f>
        <v>1591.8000000000002</v>
      </c>
      <c r="H3" s="8">
        <f>LOG10(D3*100*E3/G3*1000)</f>
        <v>5.7197979751176291</v>
      </c>
      <c r="J3">
        <f>(D3*E3)/(D$3*E$3+D$4*E$4+D$5*E$5+D$6*E$6)</f>
        <v>1.0959803117309271E-2</v>
      </c>
    </row>
    <row r="4" spans="1:10" x14ac:dyDescent="0.2">
      <c r="A4" s="3" t="s">
        <v>11</v>
      </c>
      <c r="B4">
        <v>67</v>
      </c>
      <c r="C4">
        <v>68</v>
      </c>
      <c r="D4">
        <f t="shared" si="0"/>
        <v>67.5</v>
      </c>
      <c r="E4" s="3">
        <v>10000</v>
      </c>
      <c r="G4" s="3">
        <f>2707.4-1837.7</f>
        <v>869.7</v>
      </c>
      <c r="H4" s="8">
        <f t="shared" ref="H4:H10" si="1">LOG10(D4*100*E4/G4*1000)</f>
        <v>7.8899343027563651</v>
      </c>
      <c r="J4" s="18">
        <f>(D4*E4)/(D$3*E$3+D$4*E$4+D$5*E$5+D$6*E$6)</f>
        <v>0.8859721082854799</v>
      </c>
    </row>
    <row r="5" spans="1:10" x14ac:dyDescent="0.2">
      <c r="A5" s="3" t="s">
        <v>12</v>
      </c>
      <c r="B5">
        <v>104</v>
      </c>
      <c r="C5">
        <v>101</v>
      </c>
      <c r="D5">
        <f t="shared" si="0"/>
        <v>102.5</v>
      </c>
      <c r="E5" s="3">
        <v>10</v>
      </c>
      <c r="G5" s="3">
        <f>1913.7-1784.5</f>
        <v>129.20000000000005</v>
      </c>
      <c r="H5" s="8">
        <f t="shared" si="1"/>
        <v>5.8994613517327075</v>
      </c>
      <c r="J5">
        <f t="shared" ref="J5:J6" si="2">(D5*E5)/(D$3*E$3+D$4*E$4+D$5*E$5+D$6*E$6)</f>
        <v>1.3453650533223954E-3</v>
      </c>
    </row>
    <row r="6" spans="1:10" ht="17" x14ac:dyDescent="0.2">
      <c r="A6" s="4" t="s">
        <v>13</v>
      </c>
      <c r="B6" s="6">
        <v>78</v>
      </c>
      <c r="C6" s="6">
        <v>77</v>
      </c>
      <c r="D6">
        <f t="shared" si="0"/>
        <v>77.5</v>
      </c>
      <c r="E6" s="4">
        <v>1000</v>
      </c>
      <c r="F6" s="4"/>
      <c r="G6" s="4">
        <f>1954.1-1809.7</f>
        <v>144.39999999999986</v>
      </c>
      <c r="H6" s="8">
        <f t="shared" si="1"/>
        <v>7.7297345092726903</v>
      </c>
      <c r="J6">
        <f t="shared" si="2"/>
        <v>0.10172272354388844</v>
      </c>
    </row>
    <row r="7" spans="1:10" x14ac:dyDescent="0.2">
      <c r="A7" s="3" t="s">
        <v>16</v>
      </c>
      <c r="D7" t="e">
        <f t="shared" si="0"/>
        <v>#DIV/0!</v>
      </c>
      <c r="E7" s="3"/>
      <c r="F7" s="1">
        <v>0</v>
      </c>
      <c r="G7" s="3">
        <f>1887.1-1823.1</f>
        <v>64</v>
      </c>
      <c r="H7" s="8" t="e">
        <f t="shared" si="1"/>
        <v>#DIV/0!</v>
      </c>
      <c r="J7">
        <v>0</v>
      </c>
    </row>
    <row r="8" spans="1:10" x14ac:dyDescent="0.2">
      <c r="A8" s="3" t="s">
        <v>14</v>
      </c>
      <c r="D8" t="e">
        <f t="shared" si="0"/>
        <v>#DIV/0!</v>
      </c>
      <c r="E8" s="3"/>
      <c r="F8" s="1">
        <v>0</v>
      </c>
      <c r="G8" s="3">
        <f>1896.7-1798.5</f>
        <v>98.200000000000045</v>
      </c>
      <c r="H8" s="8" t="e">
        <f t="shared" si="1"/>
        <v>#DIV/0!</v>
      </c>
      <c r="J8">
        <v>0</v>
      </c>
    </row>
    <row r="9" spans="1:10" x14ac:dyDescent="0.2">
      <c r="A9" s="3" t="s">
        <v>15</v>
      </c>
      <c r="D9" t="e">
        <f t="shared" si="0"/>
        <v>#DIV/0!</v>
      </c>
      <c r="E9" s="3"/>
      <c r="F9" s="1">
        <v>0</v>
      </c>
      <c r="G9" s="3">
        <f>2661.3-1917.9</f>
        <v>743.40000000000009</v>
      </c>
      <c r="H9" s="8" t="e">
        <f t="shared" si="1"/>
        <v>#DIV/0!</v>
      </c>
      <c r="J9">
        <v>0</v>
      </c>
    </row>
    <row r="10" spans="1:10" x14ac:dyDescent="0.2">
      <c r="A10" s="3" t="s">
        <v>19</v>
      </c>
      <c r="D10" t="e">
        <f t="shared" si="0"/>
        <v>#DIV/0!</v>
      </c>
      <c r="E10" s="3"/>
      <c r="F10" s="1">
        <v>0</v>
      </c>
      <c r="G10" s="3">
        <f>1887.5-1754.3</f>
        <v>133.20000000000005</v>
      </c>
      <c r="H10" s="8" t="e">
        <f t="shared" si="1"/>
        <v>#DIV/0!</v>
      </c>
      <c r="J10">
        <v>0</v>
      </c>
    </row>
    <row r="11" spans="1:10" x14ac:dyDescent="0.2">
      <c r="E11" s="3"/>
      <c r="G11" s="3"/>
      <c r="H11" s="8"/>
    </row>
    <row r="12" spans="1:10" ht="51" x14ac:dyDescent="0.2">
      <c r="A12" s="2" t="s">
        <v>22</v>
      </c>
      <c r="B12" s="26" t="s">
        <v>0</v>
      </c>
      <c r="C12" s="26"/>
      <c r="D12" s="4" t="s">
        <v>1</v>
      </c>
      <c r="E12" s="4" t="s">
        <v>2</v>
      </c>
      <c r="F12" s="4" t="s">
        <v>32</v>
      </c>
      <c r="G12" s="4" t="s">
        <v>17</v>
      </c>
      <c r="H12" s="7" t="s">
        <v>18</v>
      </c>
    </row>
    <row r="13" spans="1:10" x14ac:dyDescent="0.2">
      <c r="A13" s="3" t="s">
        <v>9</v>
      </c>
      <c r="D13" t="e">
        <f>AVERAGE(B13:C13)</f>
        <v>#DIV/0!</v>
      </c>
      <c r="E13" s="3"/>
      <c r="F13" s="1">
        <v>0</v>
      </c>
      <c r="G13" s="3">
        <f>2064.5-1846.3</f>
        <v>218.20000000000005</v>
      </c>
      <c r="H13" s="8" t="e">
        <f>LOG10(F13*10/G13*1000)</f>
        <v>#NUM!</v>
      </c>
      <c r="J13">
        <f>F13*10/(F$13*10+(D$14*E$14+D$15*E$15+D$16*E$16+D$17*E$17)*100+(F$18+F$19+F$20)*10)</f>
        <v>0</v>
      </c>
    </row>
    <row r="14" spans="1:10" x14ac:dyDescent="0.2">
      <c r="A14" s="3" t="s">
        <v>10</v>
      </c>
      <c r="B14">
        <v>17</v>
      </c>
      <c r="C14">
        <v>12</v>
      </c>
      <c r="D14">
        <f t="shared" ref="D14:D21" si="3">AVERAGE(B14:C14)</f>
        <v>14.5</v>
      </c>
      <c r="E14" s="3">
        <v>10</v>
      </c>
      <c r="G14" s="3">
        <f>3095.2-1831.6</f>
        <v>1263.5999999999999</v>
      </c>
      <c r="H14" s="8">
        <f>LOG10(D14*100*E14/G14*1000)</f>
        <v>4.0597583850018637</v>
      </c>
      <c r="J14">
        <f>D14*E14*100/(F$13*10+(D$14*E$14+D$15*E$15+D$16*E$16+D$17*E$17)*100+(F$18+F$19+F$20)*10)</f>
        <v>3.4806822137138879E-3</v>
      </c>
    </row>
    <row r="15" spans="1:10" x14ac:dyDescent="0.2">
      <c r="A15" s="3" t="s">
        <v>11</v>
      </c>
      <c r="B15">
        <v>42</v>
      </c>
      <c r="C15">
        <v>37</v>
      </c>
      <c r="D15">
        <f t="shared" si="3"/>
        <v>39.5</v>
      </c>
      <c r="E15" s="3">
        <v>1000</v>
      </c>
      <c r="G15" s="3">
        <f>2723.2-1784</f>
        <v>939.19999999999982</v>
      </c>
      <c r="H15" s="8">
        <f t="shared" ref="H15:H21" si="4">LOG10(D15*100*E15/G15*1000)</f>
        <v>6.6238390117229207</v>
      </c>
      <c r="J15" s="18">
        <f>D15*E15*100/(F$13*10+(D$14*E$14+D$15*E$15+D$16*E$16+D$17*E$17)*100+(F$18+F$19+F$20)*10)</f>
        <v>0.94818584442550735</v>
      </c>
    </row>
    <row r="16" spans="1:10" x14ac:dyDescent="0.2">
      <c r="A16" s="3" t="s">
        <v>12</v>
      </c>
      <c r="B16">
        <v>15</v>
      </c>
      <c r="C16">
        <v>12</v>
      </c>
      <c r="D16">
        <f t="shared" si="3"/>
        <v>13.5</v>
      </c>
      <c r="E16" s="3">
        <v>1</v>
      </c>
      <c r="G16" s="3">
        <f>1902.2-1795.8</f>
        <v>106.40000000000009</v>
      </c>
      <c r="H16" s="8">
        <f t="shared" si="4"/>
        <v>4.1033921405359761</v>
      </c>
      <c r="J16">
        <f t="shared" ref="J16:J17" si="5">D16*E16*100/(F$13*10+(D$14*E$14+D$15*E$15+D$16*E$16+D$17*E$17)*100+(F$18+F$19+F$20)*10)</f>
        <v>3.2406351644922407E-4</v>
      </c>
    </row>
    <row r="17" spans="1:10" ht="17" x14ac:dyDescent="0.2">
      <c r="A17" s="4" t="s">
        <v>13</v>
      </c>
      <c r="B17" s="6">
        <v>22</v>
      </c>
      <c r="C17" s="6">
        <v>18</v>
      </c>
      <c r="D17">
        <f t="shared" si="3"/>
        <v>20</v>
      </c>
      <c r="E17" s="4">
        <v>100</v>
      </c>
      <c r="F17" s="4"/>
      <c r="G17" s="4">
        <f>1919.4-1794.3</f>
        <v>125.10000000000014</v>
      </c>
      <c r="H17" s="8">
        <f t="shared" si="4"/>
        <v>6.2037726859705611</v>
      </c>
      <c r="J17">
        <f t="shared" si="5"/>
        <v>4.8009409844329491E-2</v>
      </c>
    </row>
    <row r="18" spans="1:10" x14ac:dyDescent="0.2">
      <c r="A18" s="3" t="s">
        <v>16</v>
      </c>
      <c r="D18" t="e">
        <f t="shared" si="3"/>
        <v>#DIV/0!</v>
      </c>
      <c r="E18" s="3"/>
      <c r="F18" s="1">
        <v>0</v>
      </c>
      <c r="G18" s="3">
        <f>1845.6-1795.9</f>
        <v>49.699999999999818</v>
      </c>
      <c r="H18" s="8" t="e">
        <f>LOG10(F18*10/G18*1000)</f>
        <v>#NUM!</v>
      </c>
      <c r="J18">
        <f>F18*10/(F$13*10+(D$14*E$14+D$15*E$15+D$16*E$16+D$17*E$17)*100+(F$18+F$19+F$20)*10)</f>
        <v>0</v>
      </c>
    </row>
    <row r="19" spans="1:10" x14ac:dyDescent="0.2">
      <c r="A19" s="3" t="s">
        <v>14</v>
      </c>
      <c r="D19" t="e">
        <f t="shared" si="3"/>
        <v>#DIV/0!</v>
      </c>
      <c r="E19" s="3"/>
      <c r="F19" s="1">
        <v>0</v>
      </c>
      <c r="G19" s="3">
        <f>1852.3-1760.2</f>
        <v>92.099999999999909</v>
      </c>
      <c r="H19" s="8" t="e">
        <f>LOG10(F19*10/G19*1000)</f>
        <v>#NUM!</v>
      </c>
      <c r="J19">
        <f t="shared" ref="J19" si="6">F19*10/(F$13*10+(D$14*E$14+D$15*E$15+D$16*E$16+D$17*E$17)*100+(F$18+F$19+F$20)*10)</f>
        <v>0</v>
      </c>
    </row>
    <row r="20" spans="1:10" x14ac:dyDescent="0.2">
      <c r="A20" s="3" t="s">
        <v>15</v>
      </c>
      <c r="D20" t="e">
        <f t="shared" si="3"/>
        <v>#DIV/0!</v>
      </c>
      <c r="F20" s="1">
        <v>0</v>
      </c>
      <c r="G20" s="3">
        <f>2653.8-1799.9</f>
        <v>853.90000000000009</v>
      </c>
      <c r="H20" s="8" t="e">
        <f>LOG10(F20*10/G20*1000)</f>
        <v>#NUM!</v>
      </c>
      <c r="J20">
        <f>F20*10/(F$13*10+(D$14*E$14+D$15*E$15+D$16*E$16+D$17*E$17)*100+(F$18+F$19+F$20)*10)</f>
        <v>0</v>
      </c>
    </row>
    <row r="21" spans="1:10" x14ac:dyDescent="0.2">
      <c r="A21" s="3" t="s">
        <v>19</v>
      </c>
      <c r="D21" t="e">
        <f t="shared" si="3"/>
        <v>#DIV/0!</v>
      </c>
      <c r="E21" s="3"/>
      <c r="F21" s="1">
        <v>0</v>
      </c>
      <c r="G21" s="3">
        <f>1946.7-1789.2</f>
        <v>157.5</v>
      </c>
      <c r="H21" s="8" t="e">
        <f t="shared" si="4"/>
        <v>#DIV/0!</v>
      </c>
      <c r="J21">
        <f>F21*10/(F$13*10+(D$14*E$14+D$15*E$15+D$16*E$16+D$17*E$17)*100+(F$18+F$19+F$20)*10)</f>
        <v>0</v>
      </c>
    </row>
    <row r="22" spans="1:10" x14ac:dyDescent="0.2">
      <c r="A22" s="3"/>
      <c r="G22" s="3"/>
      <c r="H22" s="8"/>
    </row>
    <row r="23" spans="1:10" ht="51" x14ac:dyDescent="0.2">
      <c r="A23" s="2" t="s">
        <v>23</v>
      </c>
      <c r="B23" s="26" t="s">
        <v>0</v>
      </c>
      <c r="C23" s="26"/>
      <c r="D23" s="4" t="s">
        <v>1</v>
      </c>
      <c r="E23" s="4" t="s">
        <v>2</v>
      </c>
      <c r="F23" s="4" t="s">
        <v>32</v>
      </c>
      <c r="G23" s="4" t="s">
        <v>17</v>
      </c>
      <c r="H23" s="7" t="s">
        <v>18</v>
      </c>
    </row>
    <row r="24" spans="1:10" x14ac:dyDescent="0.2">
      <c r="A24" s="3" t="s">
        <v>9</v>
      </c>
      <c r="D24" t="e">
        <f>AVERAGE(B24:C24)</f>
        <v>#DIV/0!</v>
      </c>
      <c r="E24" s="3"/>
      <c r="F24" s="1">
        <v>0</v>
      </c>
      <c r="G24" s="3">
        <f>2001.9-1801</f>
        <v>200.90000000000009</v>
      </c>
      <c r="H24" s="8" t="e">
        <f>LOG10(F24*10/G24*1000)</f>
        <v>#NUM!</v>
      </c>
      <c r="J24">
        <f>F24*10/(F$13*10+(D$14*E$14+D$15*E$15+D$16*E$16+D$17*E$17)*100+(F$18+F$19+F$20)*10)</f>
        <v>0</v>
      </c>
    </row>
    <row r="25" spans="1:10" x14ac:dyDescent="0.2">
      <c r="A25" s="3" t="s">
        <v>10</v>
      </c>
      <c r="B25">
        <v>30</v>
      </c>
      <c r="C25">
        <v>24</v>
      </c>
      <c r="D25">
        <f t="shared" ref="D25:D32" si="7">AVERAGE(B25:C25)</f>
        <v>27</v>
      </c>
      <c r="E25" s="3">
        <v>100</v>
      </c>
      <c r="G25" s="3">
        <f>3164.1-1838.7</f>
        <v>1325.3999999999999</v>
      </c>
      <c r="H25" s="8">
        <f>LOG10(D25*100*E25/G25*1000)</f>
        <v>5.3090167979039089</v>
      </c>
      <c r="J25">
        <f>D25*E25*100/(F$24*10+(D$25*E$25+D$26*E$26+D$27*E$27+D$28*E$28)*100+(F$29+F$30+F$31)*10)</f>
        <v>5.7042655229966408E-3</v>
      </c>
    </row>
    <row r="26" spans="1:10" x14ac:dyDescent="0.2">
      <c r="A26" s="3" t="s">
        <v>11</v>
      </c>
      <c r="B26">
        <v>23</v>
      </c>
      <c r="C26">
        <v>38</v>
      </c>
      <c r="D26">
        <f t="shared" si="7"/>
        <v>30.5</v>
      </c>
      <c r="E26" s="3">
        <v>10000</v>
      </c>
      <c r="G26" s="3">
        <f>2657-1723.5</f>
        <v>933.5</v>
      </c>
      <c r="H26" s="8">
        <f t="shared" ref="H26:H32" si="8">LOG10(D26*100*E26/G26*1000)</f>
        <v>7.5141855170616889</v>
      </c>
      <c r="J26" s="18">
        <f>D26*E26*100/(F$24*10+(D$25*E$25+D$26*E$26+D$27*E$27+D$28*E$28)*100+(F$29+F$30+F$31)*10)</f>
        <v>0.64437073500517605</v>
      </c>
    </row>
    <row r="27" spans="1:10" x14ac:dyDescent="0.2">
      <c r="A27" s="3" t="s">
        <v>12</v>
      </c>
      <c r="B27">
        <v>68</v>
      </c>
      <c r="C27">
        <v>58</v>
      </c>
      <c r="D27">
        <f t="shared" si="7"/>
        <v>63</v>
      </c>
      <c r="E27" s="3">
        <v>10</v>
      </c>
      <c r="G27" s="3">
        <f>1955-1834.2</f>
        <v>120.79999999999995</v>
      </c>
      <c r="H27" s="8">
        <f t="shared" si="8"/>
        <v>5.7172736151684687</v>
      </c>
      <c r="J27">
        <f t="shared" ref="J27:J28" si="9">D27*E27*100/(F$24*10+(D$25*E$25+D$26*E$26+D$27*E$27+D$28*E$28)*100+(F$29+F$30+F$31)*10)</f>
        <v>1.3309952886992162E-3</v>
      </c>
    </row>
    <row r="28" spans="1:10" ht="17" x14ac:dyDescent="0.2">
      <c r="A28" s="4" t="s">
        <v>13</v>
      </c>
      <c r="B28" s="6">
        <v>16</v>
      </c>
      <c r="C28" s="6">
        <v>17</v>
      </c>
      <c r="D28">
        <f t="shared" si="7"/>
        <v>16.5</v>
      </c>
      <c r="E28" s="4">
        <v>10000</v>
      </c>
      <c r="F28" s="4"/>
      <c r="G28" s="4">
        <f>1862.9-1702.8</f>
        <v>160.10000000000014</v>
      </c>
      <c r="H28" s="8">
        <f t="shared" si="8"/>
        <v>8.0130926122946065</v>
      </c>
      <c r="J28" s="18">
        <f t="shared" si="9"/>
        <v>0.34859400418312803</v>
      </c>
    </row>
    <row r="29" spans="1:10" x14ac:dyDescent="0.2">
      <c r="A29" s="3" t="s">
        <v>41</v>
      </c>
      <c r="D29" t="e">
        <f t="shared" si="7"/>
        <v>#DIV/0!</v>
      </c>
      <c r="E29" s="3"/>
      <c r="F29" s="1">
        <v>0</v>
      </c>
      <c r="G29" s="3">
        <f>1875.7-1862.6</f>
        <v>13.100000000000136</v>
      </c>
      <c r="H29" s="8" t="e">
        <f t="shared" si="8"/>
        <v>#DIV/0!</v>
      </c>
      <c r="J29">
        <f>F29*10/(F$24*10+(D$25*E$25+D$26*E$26+D$27*E$27+D$28*E$28)*100+(F$29+F$30+F$31)*10)</f>
        <v>0</v>
      </c>
    </row>
    <row r="30" spans="1:10" x14ac:dyDescent="0.2">
      <c r="A30" s="3" t="s">
        <v>14</v>
      </c>
      <c r="D30" t="e">
        <f t="shared" si="7"/>
        <v>#DIV/0!</v>
      </c>
      <c r="E30" s="3"/>
      <c r="F30" s="1">
        <v>0</v>
      </c>
      <c r="G30" s="3">
        <f>1854.4-1762.4</f>
        <v>92</v>
      </c>
      <c r="H30" s="8" t="e">
        <f t="shared" si="8"/>
        <v>#DIV/0!</v>
      </c>
      <c r="J30">
        <f t="shared" ref="J30:J32" si="10">F30*10/(F$24*10+(D$25*E$25+D$26*E$26+D$27*E$27+D$28*E$28)*100+(F$29+F$30+F$31)*10)</f>
        <v>0</v>
      </c>
    </row>
    <row r="31" spans="1:10" x14ac:dyDescent="0.2">
      <c r="A31" s="3" t="s">
        <v>15</v>
      </c>
      <c r="D31" t="e">
        <f t="shared" si="7"/>
        <v>#DIV/0!</v>
      </c>
      <c r="E31" s="3"/>
      <c r="F31" s="1">
        <v>0</v>
      </c>
      <c r="G31" s="3">
        <f>2530.4-1760.4</f>
        <v>770</v>
      </c>
      <c r="H31" s="8" t="e">
        <f t="shared" si="8"/>
        <v>#DIV/0!</v>
      </c>
      <c r="J31">
        <f t="shared" si="10"/>
        <v>0</v>
      </c>
    </row>
    <row r="32" spans="1:10" x14ac:dyDescent="0.2">
      <c r="A32" s="3" t="s">
        <v>19</v>
      </c>
      <c r="D32" t="e">
        <f t="shared" si="7"/>
        <v>#DIV/0!</v>
      </c>
      <c r="E32" s="3"/>
      <c r="F32" s="1">
        <v>0</v>
      </c>
      <c r="G32" s="3">
        <f>1907.7-1757.6</f>
        <v>150.10000000000014</v>
      </c>
      <c r="H32" s="8" t="e">
        <f t="shared" si="8"/>
        <v>#DIV/0!</v>
      </c>
      <c r="J32">
        <f t="shared" si="10"/>
        <v>0</v>
      </c>
    </row>
    <row r="33" spans="1:10" x14ac:dyDescent="0.2">
      <c r="A33" s="3"/>
      <c r="G33" s="3"/>
      <c r="H33" s="8"/>
    </row>
    <row r="34" spans="1:10" ht="51" x14ac:dyDescent="0.2">
      <c r="A34" s="2" t="s">
        <v>24</v>
      </c>
      <c r="B34" s="26" t="s">
        <v>0</v>
      </c>
      <c r="C34" s="26"/>
      <c r="D34" s="4" t="s">
        <v>1</v>
      </c>
      <c r="E34" s="4" t="s">
        <v>2</v>
      </c>
      <c r="F34" s="4" t="s">
        <v>32</v>
      </c>
      <c r="G34" s="4" t="s">
        <v>17</v>
      </c>
      <c r="H34" s="7" t="s">
        <v>18</v>
      </c>
    </row>
    <row r="35" spans="1:10" x14ac:dyDescent="0.2">
      <c r="A35" s="3" t="s">
        <v>9</v>
      </c>
      <c r="D35" t="e">
        <f>AVERAGE(B35:C35)</f>
        <v>#DIV/0!</v>
      </c>
      <c r="E35" s="3"/>
      <c r="F35" s="1">
        <v>0</v>
      </c>
      <c r="G35" s="3">
        <f>1972.1-1744.7</f>
        <v>227.39999999999986</v>
      </c>
      <c r="H35" s="8" t="e">
        <f>LOG10(F35*10/G35*1000)</f>
        <v>#NUM!</v>
      </c>
      <c r="J35">
        <f>F35*10/(F$13*10+(D$14*E$14+D$15*E$15+D$16*E$16+D$17*E$17)*100+(F$18+F$19+F$20)*10)</f>
        <v>0</v>
      </c>
    </row>
    <row r="36" spans="1:10" x14ac:dyDescent="0.2">
      <c r="A36" s="3" t="s">
        <v>10</v>
      </c>
      <c r="B36">
        <v>7</v>
      </c>
      <c r="C36">
        <v>5</v>
      </c>
      <c r="D36">
        <f t="shared" ref="D36:D43" si="11">AVERAGE(B36:C36)</f>
        <v>6</v>
      </c>
      <c r="E36" s="3">
        <v>1</v>
      </c>
      <c r="G36" s="3">
        <f>3307.2-1784.8</f>
        <v>1522.3999999999999</v>
      </c>
      <c r="H36" s="8">
        <f>LOG10(D36*100*E36/G36*1000)</f>
        <v>2.5956224751046797</v>
      </c>
      <c r="J36">
        <f>D36*E36*100/(F$35*10+(D$36*E$36+D$37*E$37+D$38*E$38+D$39*E$39)*100+(F$40+F$41+F$42)*10)</f>
        <v>3.6869612581484915E-6</v>
      </c>
    </row>
    <row r="37" spans="1:10" x14ac:dyDescent="0.2">
      <c r="A37" s="3" t="s">
        <v>11</v>
      </c>
      <c r="B37">
        <v>20</v>
      </c>
      <c r="C37">
        <v>10</v>
      </c>
      <c r="D37">
        <f t="shared" si="11"/>
        <v>15</v>
      </c>
      <c r="E37" s="3">
        <v>100000</v>
      </c>
      <c r="G37" s="3">
        <f>2824.5-1858</f>
        <v>966.5</v>
      </c>
      <c r="H37" s="8">
        <f t="shared" ref="H37:H43" si="12">LOG10(D37*100*E37/G37*1000)</f>
        <v>8.190889400691109</v>
      </c>
      <c r="J37" s="18">
        <f t="shared" ref="J37:J39" si="13">D37*E37*100/(F$35*10+(D$36*E$36+D$37*E$37+D$38*E$38+D$39*E$39)*100+(F$40+F$41+F$42)*10)</f>
        <v>0.92174031453712291</v>
      </c>
    </row>
    <row r="38" spans="1:10" x14ac:dyDescent="0.2">
      <c r="A38" s="3" t="s">
        <v>12</v>
      </c>
      <c r="B38">
        <v>21</v>
      </c>
      <c r="C38">
        <v>26</v>
      </c>
      <c r="D38">
        <f t="shared" si="11"/>
        <v>23.5</v>
      </c>
      <c r="E38" s="3">
        <v>100</v>
      </c>
      <c r="G38" s="3">
        <f>1932.3-1797.5</f>
        <v>134.79999999999995</v>
      </c>
      <c r="H38" s="8">
        <f t="shared" si="12"/>
        <v>6.2413779700724357</v>
      </c>
      <c r="J38">
        <f>D38*E38*100/(F$35*10+(D$36*E$36+D$37*E$37+D$38*E$38+D$39*E$39)*100+(F$40+F$41+F$42)*10)</f>
        <v>1.4440598261081592E-3</v>
      </c>
    </row>
    <row r="39" spans="1:10" ht="17" x14ac:dyDescent="0.2">
      <c r="A39" s="4" t="s">
        <v>13</v>
      </c>
      <c r="B39" s="6">
        <v>11</v>
      </c>
      <c r="C39" s="6">
        <v>14</v>
      </c>
      <c r="D39">
        <f t="shared" si="11"/>
        <v>12.5</v>
      </c>
      <c r="E39" s="4">
        <v>10000</v>
      </c>
      <c r="F39" s="4"/>
      <c r="G39" s="4">
        <f>2000-1852.4</f>
        <v>147.59999999999991</v>
      </c>
      <c r="H39" s="8">
        <f t="shared" si="12"/>
        <v>7.927823655521034</v>
      </c>
      <c r="J39">
        <f t="shared" si="13"/>
        <v>7.6811692878093571E-2</v>
      </c>
    </row>
    <row r="40" spans="1:10" x14ac:dyDescent="0.2">
      <c r="A40" s="3" t="s">
        <v>16</v>
      </c>
      <c r="D40" t="e">
        <f t="shared" si="11"/>
        <v>#DIV/0!</v>
      </c>
      <c r="E40" s="3"/>
      <c r="F40" s="1">
        <v>0</v>
      </c>
      <c r="G40" s="3">
        <f>1833.1-1777.8</f>
        <v>55.299999999999955</v>
      </c>
      <c r="H40" s="8" t="e">
        <f t="shared" si="12"/>
        <v>#DIV/0!</v>
      </c>
      <c r="J40">
        <f>F40*10/(F$35*10+(D$36*E$36+D$37*E$37+D$38*E$38+D$39*E$39)*100+(F$40+F$41+F$42)*10)</f>
        <v>0</v>
      </c>
    </row>
    <row r="41" spans="1:10" x14ac:dyDescent="0.2">
      <c r="A41" s="3" t="s">
        <v>14</v>
      </c>
      <c r="D41" t="e">
        <f t="shared" si="11"/>
        <v>#DIV/0!</v>
      </c>
      <c r="E41" s="3"/>
      <c r="F41" s="1">
        <v>4</v>
      </c>
      <c r="G41" s="3">
        <f>1898.9-1814.2</f>
        <v>84.700000000000045</v>
      </c>
      <c r="H41" s="8">
        <f>LOG10(F41*10/G41*1000)</f>
        <v>2.6741765809972553</v>
      </c>
      <c r="J41">
        <f t="shared" ref="J41:J43" si="14">F41*10/(F$35*10+(D$36*E$36+D$37*E$37+D$38*E$38+D$39*E$39)*100+(F$40+F$41+F$42)*10)</f>
        <v>2.4579741720989947E-7</v>
      </c>
    </row>
    <row r="42" spans="1:10" x14ac:dyDescent="0.2">
      <c r="A42" s="3" t="s">
        <v>15</v>
      </c>
      <c r="D42" t="e">
        <f t="shared" si="11"/>
        <v>#DIV/0!</v>
      </c>
      <c r="E42" s="3"/>
      <c r="F42" s="1">
        <v>0</v>
      </c>
      <c r="G42" s="3">
        <f>2530.4-1760.4</f>
        <v>770</v>
      </c>
      <c r="H42" s="8" t="e">
        <f t="shared" si="12"/>
        <v>#DIV/0!</v>
      </c>
      <c r="J42">
        <f t="shared" si="14"/>
        <v>0</v>
      </c>
    </row>
    <row r="43" spans="1:10" x14ac:dyDescent="0.2">
      <c r="A43" s="3" t="s">
        <v>19</v>
      </c>
      <c r="D43" t="e">
        <f t="shared" si="11"/>
        <v>#DIV/0!</v>
      </c>
      <c r="E43" s="3"/>
      <c r="F43" s="1">
        <v>0</v>
      </c>
      <c r="G43" s="3">
        <f>1907.7-1757.6</f>
        <v>150.10000000000014</v>
      </c>
      <c r="H43" s="8" t="e">
        <f t="shared" si="12"/>
        <v>#DIV/0!</v>
      </c>
      <c r="J43">
        <f t="shared" si="14"/>
        <v>0</v>
      </c>
    </row>
    <row r="45" spans="1:10" ht="51" x14ac:dyDescent="0.2">
      <c r="A45" s="2" t="s">
        <v>25</v>
      </c>
      <c r="B45" s="26" t="s">
        <v>0</v>
      </c>
      <c r="C45" s="26"/>
      <c r="D45" s="4" t="s">
        <v>1</v>
      </c>
      <c r="E45" s="4" t="s">
        <v>2</v>
      </c>
      <c r="F45" s="4" t="s">
        <v>32</v>
      </c>
      <c r="G45" s="4" t="s">
        <v>17</v>
      </c>
      <c r="H45" s="7" t="s">
        <v>18</v>
      </c>
    </row>
    <row r="46" spans="1:10" x14ac:dyDescent="0.2">
      <c r="A46" s="3" t="s">
        <v>9</v>
      </c>
      <c r="C46">
        <v>1</v>
      </c>
      <c r="D46">
        <f>AVERAGE(B46:C46)</f>
        <v>1</v>
      </c>
      <c r="E46" s="3">
        <v>1</v>
      </c>
      <c r="F46" s="1">
        <v>26</v>
      </c>
      <c r="G46" s="3">
        <f>2144.4-1829</f>
        <v>315.40000000000009</v>
      </c>
      <c r="H46" s="8">
        <f>LOG10(F46*10/G46*1000)</f>
        <v>2.9161116589779339</v>
      </c>
      <c r="J46">
        <f>F46*10/(F$46*10+(D$47*E$47+D$48*E$48+D$49*E$49+D$50*E$50)*100+(F$51+F$52+F$53)*10)</f>
        <v>4.4591734373212581E-6</v>
      </c>
    </row>
    <row r="47" spans="1:10" x14ac:dyDescent="0.2">
      <c r="A47" s="3" t="s">
        <v>10</v>
      </c>
      <c r="B47">
        <v>54</v>
      </c>
      <c r="C47">
        <v>70</v>
      </c>
      <c r="D47">
        <f t="shared" ref="D47:D54" si="15">AVERAGE(B47:C47)</f>
        <v>62</v>
      </c>
      <c r="E47" s="3">
        <v>100</v>
      </c>
      <c r="G47" s="3">
        <f>3352.4-1859.9</f>
        <v>1492.5</v>
      </c>
      <c r="H47" s="8">
        <f>LOG10(D47*100*E47/G47*1000)</f>
        <v>5.618477349696847</v>
      </c>
      <c r="J47">
        <f>D47*E47*100/(F$46*10+(D$47*E$47+D$48*E$48+D$49*E$49+D$50*E$50)*100+(F$51+F$52+F$53)*10)</f>
        <v>1.0633413581304539E-2</v>
      </c>
    </row>
    <row r="48" spans="1:10" x14ac:dyDescent="0.2">
      <c r="A48" s="3" t="s">
        <v>11</v>
      </c>
      <c r="B48">
        <v>50</v>
      </c>
      <c r="C48">
        <v>50</v>
      </c>
      <c r="D48">
        <f t="shared" si="15"/>
        <v>50</v>
      </c>
      <c r="E48" s="3">
        <v>10000</v>
      </c>
      <c r="G48" s="3">
        <f>3082.8-1811.7</f>
        <v>1271.1000000000001</v>
      </c>
      <c r="H48" s="8">
        <f t="shared" ref="H48:H54" si="16">LOG10(D48*100*E48/G48*1000)</f>
        <v>7.5947902856153666</v>
      </c>
      <c r="J48" s="18">
        <f t="shared" ref="J48:J50" si="17">D48*E48*100/(F$46*10+(D$47*E$47+D$48*E$48+D$49*E$49+D$50*E$50)*100+(F$51+F$52+F$53)*10)</f>
        <v>0.85753335333101111</v>
      </c>
    </row>
    <row r="49" spans="1:10" x14ac:dyDescent="0.2">
      <c r="A49" s="3" t="s">
        <v>12</v>
      </c>
      <c r="B49">
        <v>35</v>
      </c>
      <c r="C49">
        <v>38</v>
      </c>
      <c r="D49">
        <f t="shared" si="15"/>
        <v>36.5</v>
      </c>
      <c r="E49" s="3">
        <v>10</v>
      </c>
      <c r="G49" s="3">
        <f>1954.5-1858.7</f>
        <v>95.799999999999955</v>
      </c>
      <c r="H49" s="8">
        <f t="shared" si="16"/>
        <v>5.5809273553779306</v>
      </c>
      <c r="J49">
        <f t="shared" si="17"/>
        <v>6.2599934793163817E-4</v>
      </c>
    </row>
    <row r="50" spans="1:10" ht="17" x14ac:dyDescent="0.2">
      <c r="A50" s="4" t="s">
        <v>13</v>
      </c>
      <c r="B50" s="6">
        <v>71</v>
      </c>
      <c r="C50" s="6">
        <v>82</v>
      </c>
      <c r="D50">
        <f t="shared" si="15"/>
        <v>76.5</v>
      </c>
      <c r="E50" s="4">
        <v>1000</v>
      </c>
      <c r="F50" s="4"/>
      <c r="G50" s="4">
        <f>1906.3-1768.8</f>
        <v>137.5</v>
      </c>
      <c r="H50" s="8">
        <f t="shared" si="16"/>
        <v>7.7453587369873365</v>
      </c>
      <c r="J50" s="18">
        <f t="shared" si="17"/>
        <v>0.13120260305964471</v>
      </c>
    </row>
    <row r="51" spans="1:10" x14ac:dyDescent="0.2">
      <c r="A51" s="3" t="s">
        <v>16</v>
      </c>
      <c r="D51" t="e">
        <f t="shared" si="15"/>
        <v>#DIV/0!</v>
      </c>
      <c r="E51" s="3"/>
      <c r="F51" s="1">
        <v>0</v>
      </c>
      <c r="G51" s="3">
        <f>1814.6-1772.4</f>
        <v>42.199999999999818</v>
      </c>
      <c r="H51" s="8" t="e">
        <f t="shared" si="16"/>
        <v>#DIV/0!</v>
      </c>
      <c r="J51">
        <f>F51*10/(F$46*10+(D$47*E$47+D$48*E$48+D$49*E$49+D$50*E$50)*100+(F$51+F$52+F$53)*10)</f>
        <v>0</v>
      </c>
    </row>
    <row r="52" spans="1:10" x14ac:dyDescent="0.2">
      <c r="A52" s="3" t="s">
        <v>14</v>
      </c>
      <c r="D52" t="e">
        <f t="shared" si="15"/>
        <v>#DIV/0!</v>
      </c>
      <c r="E52" s="3"/>
      <c r="F52" s="1">
        <v>0</v>
      </c>
      <c r="G52" s="3">
        <f>1977-1887.2</f>
        <v>89.799999999999955</v>
      </c>
      <c r="H52" s="8" t="e">
        <f t="shared" si="16"/>
        <v>#DIV/0!</v>
      </c>
      <c r="J52">
        <f t="shared" ref="J52:J54" si="18">F52*10/(F$46*10+(D$47*E$47+D$48*E$48+D$49*E$49+D$50*E$50)*100+(F$51+F$52+F$53)*10)</f>
        <v>0</v>
      </c>
    </row>
    <row r="53" spans="1:10" x14ac:dyDescent="0.2">
      <c r="A53" s="3" t="s">
        <v>15</v>
      </c>
      <c r="D53" t="e">
        <f t="shared" si="15"/>
        <v>#DIV/0!</v>
      </c>
      <c r="E53" s="3"/>
      <c r="F53" s="1">
        <v>1</v>
      </c>
      <c r="G53" s="3">
        <f>2695.7-1775.2</f>
        <v>920.49999999999977</v>
      </c>
      <c r="H53" s="8">
        <f>LOG10(F53*10/G53*1000)</f>
        <v>1.0359762071599665</v>
      </c>
      <c r="J53">
        <f>F53*10/(F$46*10+(D$47*E$47+D$48*E$48+D$49*E$49+D$50*E$50)*100+(F$51+F$52+F$53)*10)</f>
        <v>1.7150667066620223E-7</v>
      </c>
    </row>
    <row r="54" spans="1:10" x14ac:dyDescent="0.2">
      <c r="A54" s="3" t="s">
        <v>19</v>
      </c>
      <c r="D54" t="e">
        <f t="shared" si="15"/>
        <v>#DIV/0!</v>
      </c>
      <c r="E54" s="3"/>
      <c r="F54" s="1">
        <v>0</v>
      </c>
      <c r="G54" s="3">
        <f>1871.1-1735.9</f>
        <v>135.19999999999982</v>
      </c>
      <c r="H54" s="8" t="e">
        <f t="shared" si="16"/>
        <v>#DIV/0!</v>
      </c>
      <c r="J54">
        <f t="shared" si="18"/>
        <v>0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171DB0-A8AA-EA40-95D9-9FFAC3994CA9}">
  <dimension ref="A1:J54"/>
  <sheetViews>
    <sheetView workbookViewId="0">
      <selection activeCell="G55" sqref="G55"/>
    </sheetView>
  </sheetViews>
  <sheetFormatPr baseColWidth="10" defaultRowHeight="16" x14ac:dyDescent="0.2"/>
  <cols>
    <col min="1" max="1" width="19" customWidth="1"/>
    <col min="6" max="6" width="10.83203125" style="3"/>
  </cols>
  <sheetData>
    <row r="1" spans="1:10" ht="51" x14ac:dyDescent="0.2">
      <c r="A1" s="2" t="s">
        <v>26</v>
      </c>
      <c r="B1" s="26" t="s">
        <v>0</v>
      </c>
      <c r="C1" s="26"/>
      <c r="D1" s="4" t="s">
        <v>1</v>
      </c>
      <c r="E1" s="4" t="s">
        <v>2</v>
      </c>
      <c r="F1" s="4" t="s">
        <v>32</v>
      </c>
      <c r="G1" s="4" t="s">
        <v>17</v>
      </c>
      <c r="H1" s="7" t="s">
        <v>18</v>
      </c>
      <c r="J1" s="4"/>
    </row>
    <row r="2" spans="1:10" x14ac:dyDescent="0.2">
      <c r="A2" s="3" t="s">
        <v>9</v>
      </c>
      <c r="B2">
        <v>80</v>
      </c>
      <c r="D2">
        <f>AVERAGE(B2:C2)</f>
        <v>80</v>
      </c>
      <c r="E2" s="3">
        <v>1000</v>
      </c>
      <c r="G2" s="3">
        <f>2508.4-1959.6</f>
        <v>548.80000000000018</v>
      </c>
      <c r="H2" s="8">
        <f>LOG10(D2*100*E2/G2*1000)</f>
        <v>7.163675884293248</v>
      </c>
    </row>
    <row r="3" spans="1:10" x14ac:dyDescent="0.2">
      <c r="A3" s="3" t="s">
        <v>10</v>
      </c>
      <c r="B3">
        <v>19</v>
      </c>
      <c r="C3">
        <v>13</v>
      </c>
      <c r="D3">
        <f t="shared" ref="D3:D9" si="0">AVERAGE(B3:C3)</f>
        <v>16</v>
      </c>
      <c r="E3" s="3">
        <v>1</v>
      </c>
      <c r="G3" s="3">
        <f>3274.9-2099.8</f>
        <v>1175.0999999999999</v>
      </c>
      <c r="H3" s="8">
        <f>LOG10(D3*100*E3/G3*1000)</f>
        <v>3.1340451563883964</v>
      </c>
    </row>
    <row r="4" spans="1:10" x14ac:dyDescent="0.2">
      <c r="A4" s="3" t="s">
        <v>11</v>
      </c>
      <c r="B4">
        <v>26</v>
      </c>
      <c r="C4">
        <v>20</v>
      </c>
      <c r="D4">
        <f t="shared" si="0"/>
        <v>23</v>
      </c>
      <c r="E4" s="3">
        <v>10000</v>
      </c>
      <c r="G4" s="3">
        <f>3247.5-2120.6</f>
        <v>1126.9000000000001</v>
      </c>
      <c r="H4" s="8">
        <f t="shared" ref="H4:H6" si="1">LOG10(D4*100*E4/G4*1000)</f>
        <v>7.3098424571277212</v>
      </c>
    </row>
    <row r="5" spans="1:10" x14ac:dyDescent="0.2">
      <c r="A5" s="3" t="s">
        <v>12</v>
      </c>
      <c r="B5">
        <v>68</v>
      </c>
      <c r="C5">
        <v>69</v>
      </c>
      <c r="D5">
        <f t="shared" si="0"/>
        <v>68.5</v>
      </c>
      <c r="E5" s="3">
        <v>10</v>
      </c>
      <c r="G5" s="3">
        <f>1922.4-1814</f>
        <v>108.40000000000009</v>
      </c>
      <c r="H5" s="8">
        <f t="shared" si="1"/>
        <v>5.8006612892900566</v>
      </c>
    </row>
    <row r="6" spans="1:10" ht="17" x14ac:dyDescent="0.2">
      <c r="A6" s="4" t="s">
        <v>13</v>
      </c>
      <c r="B6" s="6">
        <v>17</v>
      </c>
      <c r="C6" s="6">
        <v>14</v>
      </c>
      <c r="D6">
        <f t="shared" si="0"/>
        <v>15.5</v>
      </c>
      <c r="E6" s="4">
        <v>1000</v>
      </c>
      <c r="F6" s="4"/>
      <c r="G6" s="4">
        <f>2081.5-1959.5</f>
        <v>122</v>
      </c>
      <c r="H6" s="8">
        <f t="shared" si="1"/>
        <v>7.1039718674955434</v>
      </c>
    </row>
    <row r="7" spans="1:10" x14ac:dyDescent="0.2">
      <c r="A7" s="3" t="s">
        <v>16</v>
      </c>
      <c r="D7" t="e">
        <f t="shared" si="0"/>
        <v>#DIV/0!</v>
      </c>
      <c r="E7" s="3"/>
      <c r="F7" s="3">
        <v>0</v>
      </c>
      <c r="G7" s="3">
        <f>1991.6-1960</f>
        <v>31.599999999999909</v>
      </c>
      <c r="H7" s="8" t="e">
        <f>LOG10(10*F7/G7*1000)</f>
        <v>#NUM!</v>
      </c>
    </row>
    <row r="8" spans="1:10" x14ac:dyDescent="0.2">
      <c r="A8" s="3" t="s">
        <v>14</v>
      </c>
      <c r="D8" t="e">
        <f t="shared" si="0"/>
        <v>#DIV/0!</v>
      </c>
      <c r="E8" s="3"/>
      <c r="F8" s="3">
        <v>0</v>
      </c>
      <c r="G8" s="3">
        <f>2196.7-2098.8</f>
        <v>97.899999999999636</v>
      </c>
      <c r="H8" s="8" t="e">
        <f t="shared" ref="H8:H10" si="2">LOG10(10*F8/G8*1000)</f>
        <v>#NUM!</v>
      </c>
    </row>
    <row r="9" spans="1:10" x14ac:dyDescent="0.2">
      <c r="A9" s="3" t="s">
        <v>15</v>
      </c>
      <c r="D9" t="e">
        <f t="shared" si="0"/>
        <v>#DIV/0!</v>
      </c>
      <c r="E9" s="3"/>
      <c r="F9" s="3">
        <v>81</v>
      </c>
      <c r="G9" s="3">
        <f>2644.2-1891.9</f>
        <v>752.29999999999973</v>
      </c>
      <c r="H9" s="8">
        <f t="shared" si="2"/>
        <v>3.0320939570594625</v>
      </c>
    </row>
    <row r="10" spans="1:10" x14ac:dyDescent="0.2">
      <c r="A10" s="3" t="s">
        <v>19</v>
      </c>
      <c r="D10" t="e">
        <f>AVERAGE(B10:C10)</f>
        <v>#DIV/0!</v>
      </c>
      <c r="E10" s="3"/>
      <c r="F10" s="3">
        <v>0</v>
      </c>
      <c r="G10" s="3">
        <f>2214.1-2077.9</f>
        <v>136.19999999999982</v>
      </c>
      <c r="H10" s="8" t="e">
        <f t="shared" si="2"/>
        <v>#NUM!</v>
      </c>
    </row>
    <row r="11" spans="1:10" x14ac:dyDescent="0.2">
      <c r="E11" s="3"/>
      <c r="G11" s="3"/>
      <c r="H11" s="8"/>
    </row>
    <row r="12" spans="1:10" ht="51" x14ac:dyDescent="0.2">
      <c r="A12" s="2" t="s">
        <v>27</v>
      </c>
      <c r="B12" s="26" t="s">
        <v>0</v>
      </c>
      <c r="C12" s="26"/>
      <c r="D12" s="4" t="s">
        <v>1</v>
      </c>
      <c r="E12" s="4" t="s">
        <v>2</v>
      </c>
      <c r="F12" s="4" t="s">
        <v>32</v>
      </c>
      <c r="G12" s="4" t="s">
        <v>17</v>
      </c>
      <c r="H12" s="7" t="s">
        <v>18</v>
      </c>
    </row>
    <row r="13" spans="1:10" x14ac:dyDescent="0.2">
      <c r="A13" s="3" t="s">
        <v>9</v>
      </c>
      <c r="B13">
        <v>70</v>
      </c>
      <c r="D13">
        <f>AVERAGE(B13:C13)</f>
        <v>70</v>
      </c>
      <c r="E13" s="3">
        <v>1000</v>
      </c>
      <c r="G13" s="3">
        <f>2538.8-1903.3</f>
        <v>635.50000000000023</v>
      </c>
      <c r="H13" s="8">
        <f>LOG10(D13*100*E13/G13*1000)</f>
        <v>7.0419824851242296</v>
      </c>
    </row>
    <row r="14" spans="1:10" x14ac:dyDescent="0.2">
      <c r="A14" s="3" t="s">
        <v>10</v>
      </c>
      <c r="B14">
        <v>74</v>
      </c>
      <c r="C14">
        <v>64</v>
      </c>
      <c r="D14">
        <f t="shared" ref="D14:D21" si="3">AVERAGE(B14:C14)</f>
        <v>69</v>
      </c>
      <c r="E14" s="3">
        <v>100</v>
      </c>
      <c r="G14" s="3">
        <f>3782.1-2010.9</f>
        <v>1771.1999999999998</v>
      </c>
      <c r="H14" s="8">
        <f>LOG10(D14*100*E14/G14*1000)</f>
        <v>5.5905814872026074</v>
      </c>
    </row>
    <row r="15" spans="1:10" x14ac:dyDescent="0.2">
      <c r="A15" s="3" t="s">
        <v>11</v>
      </c>
      <c r="B15">
        <v>58</v>
      </c>
      <c r="C15">
        <v>60</v>
      </c>
      <c r="D15">
        <f t="shared" si="3"/>
        <v>59</v>
      </c>
      <c r="E15" s="3">
        <v>100000</v>
      </c>
      <c r="G15" s="3">
        <f>3322.8-1808.5</f>
        <v>1514.3000000000002</v>
      </c>
      <c r="H15" s="8">
        <f t="shared" ref="H15:H17" si="4">LOG10(D15*100*E15/G15*1000)</f>
        <v>8.5906400892932027</v>
      </c>
    </row>
    <row r="16" spans="1:10" x14ac:dyDescent="0.2">
      <c r="A16" s="3" t="s">
        <v>12</v>
      </c>
      <c r="B16">
        <v>140</v>
      </c>
      <c r="C16">
        <v>150</v>
      </c>
      <c r="D16">
        <f t="shared" si="3"/>
        <v>145</v>
      </c>
      <c r="E16" s="3">
        <v>100</v>
      </c>
      <c r="G16" s="3">
        <f>2005.2-1874.2</f>
        <v>131</v>
      </c>
      <c r="H16" s="8">
        <f t="shared" si="4"/>
        <v>7.0440967065792108</v>
      </c>
    </row>
    <row r="17" spans="1:8" ht="17" x14ac:dyDescent="0.2">
      <c r="A17" s="4" t="s">
        <v>13</v>
      </c>
      <c r="B17" s="6">
        <v>19</v>
      </c>
      <c r="C17" s="6">
        <v>27</v>
      </c>
      <c r="D17">
        <f t="shared" si="3"/>
        <v>23</v>
      </c>
      <c r="E17" s="4">
        <v>10000</v>
      </c>
      <c r="F17" s="4"/>
      <c r="G17" s="4">
        <f>2072.7-1886.7</f>
        <v>185.99999999999977</v>
      </c>
      <c r="H17" s="8">
        <f t="shared" si="4"/>
        <v>8.0922148917996779</v>
      </c>
    </row>
    <row r="18" spans="1:8" x14ac:dyDescent="0.2">
      <c r="A18" s="3" t="s">
        <v>16</v>
      </c>
      <c r="D18" t="e">
        <f t="shared" si="3"/>
        <v>#DIV/0!</v>
      </c>
      <c r="E18" s="3"/>
      <c r="F18" s="3">
        <v>0</v>
      </c>
      <c r="G18" s="3">
        <f>2095.4-2059.5</f>
        <v>35.900000000000091</v>
      </c>
      <c r="H18" s="8" t="e">
        <f>LOG10(10*F18/G18*1000)</f>
        <v>#NUM!</v>
      </c>
    </row>
    <row r="19" spans="1:8" x14ac:dyDescent="0.2">
      <c r="A19" s="3" t="s">
        <v>14</v>
      </c>
      <c r="D19" t="e">
        <f t="shared" si="3"/>
        <v>#DIV/0!</v>
      </c>
      <c r="E19" s="3"/>
      <c r="F19" s="3">
        <v>0</v>
      </c>
      <c r="G19" s="3">
        <f>1970.9-1890</f>
        <v>80.900000000000091</v>
      </c>
      <c r="H19" s="8" t="e">
        <f t="shared" ref="H19:H21" si="5">LOG10(10*F19/G19*1000)</f>
        <v>#NUM!</v>
      </c>
    </row>
    <row r="20" spans="1:8" x14ac:dyDescent="0.2">
      <c r="A20" s="3" t="s">
        <v>15</v>
      </c>
      <c r="D20" t="e">
        <f t="shared" si="3"/>
        <v>#DIV/0!</v>
      </c>
      <c r="E20" s="3"/>
      <c r="F20" s="3">
        <v>1</v>
      </c>
      <c r="G20" s="3">
        <f>2526.2-1953.2</f>
        <v>572.99999999999977</v>
      </c>
      <c r="H20" s="8">
        <f t="shared" si="5"/>
        <v>1.2418453780326102</v>
      </c>
    </row>
    <row r="21" spans="1:8" x14ac:dyDescent="0.2">
      <c r="A21" s="3" t="s">
        <v>19</v>
      </c>
      <c r="D21" t="e">
        <f t="shared" si="3"/>
        <v>#DIV/0!</v>
      </c>
      <c r="E21" s="3"/>
      <c r="F21" s="3">
        <v>0</v>
      </c>
      <c r="G21" s="3">
        <f>1975.3-1828</f>
        <v>147.29999999999995</v>
      </c>
      <c r="H21" s="8" t="e">
        <f t="shared" si="5"/>
        <v>#NUM!</v>
      </c>
    </row>
    <row r="22" spans="1:8" x14ac:dyDescent="0.2">
      <c r="A22" s="3"/>
      <c r="G22" s="3"/>
      <c r="H22" s="8"/>
    </row>
    <row r="23" spans="1:8" ht="51" x14ac:dyDescent="0.2">
      <c r="A23" s="2" t="s">
        <v>28</v>
      </c>
      <c r="B23" s="26" t="s">
        <v>0</v>
      </c>
      <c r="C23" s="26"/>
      <c r="D23" s="4" t="s">
        <v>1</v>
      </c>
      <c r="E23" s="4" t="s">
        <v>2</v>
      </c>
      <c r="F23" s="4" t="s">
        <v>32</v>
      </c>
      <c r="G23" s="4" t="s">
        <v>17</v>
      </c>
      <c r="H23" s="7" t="s">
        <v>18</v>
      </c>
    </row>
    <row r="24" spans="1:8" x14ac:dyDescent="0.2">
      <c r="A24" s="3" t="s">
        <v>9</v>
      </c>
      <c r="B24">
        <v>15</v>
      </c>
      <c r="D24">
        <f>AVERAGE(B24:C24)</f>
        <v>15</v>
      </c>
      <c r="E24" s="3">
        <v>10</v>
      </c>
      <c r="G24" s="3">
        <f>2786.8-1949.6</f>
        <v>837.20000000000027</v>
      </c>
      <c r="H24" s="8">
        <f>LOG10(D24*100*E24/G24*1000)</f>
        <v>4.2532620393890319</v>
      </c>
    </row>
    <row r="25" spans="1:8" x14ac:dyDescent="0.2">
      <c r="A25" s="3" t="s">
        <v>10</v>
      </c>
      <c r="B25">
        <v>33</v>
      </c>
      <c r="C25">
        <v>24</v>
      </c>
      <c r="D25">
        <f t="shared" ref="D25:D32" si="6">AVERAGE(B25:C25)</f>
        <v>28.5</v>
      </c>
      <c r="E25" s="3">
        <v>100</v>
      </c>
      <c r="G25" s="3">
        <f>4039.8-1828.4</f>
        <v>2211.4</v>
      </c>
      <c r="H25" s="8">
        <f>LOG10(D25*100*E25/G25*1000)</f>
        <v>5.1101775547519583</v>
      </c>
    </row>
    <row r="26" spans="1:8" x14ac:dyDescent="0.2">
      <c r="A26" s="3" t="s">
        <v>11</v>
      </c>
      <c r="B26">
        <v>20</v>
      </c>
      <c r="C26">
        <v>28</v>
      </c>
      <c r="D26">
        <f t="shared" si="6"/>
        <v>24</v>
      </c>
      <c r="E26" s="3">
        <v>10000</v>
      </c>
      <c r="G26" s="3">
        <f>3344.6-1979.9</f>
        <v>1364.6999999999998</v>
      </c>
      <c r="H26" s="8">
        <f t="shared" ref="H26:H28" si="7">LOG10(D26*100*E26/G26*1000)</f>
        <v>7.2451740501619888</v>
      </c>
    </row>
    <row r="27" spans="1:8" x14ac:dyDescent="0.2">
      <c r="A27" s="3" t="s">
        <v>12</v>
      </c>
      <c r="B27">
        <v>20</v>
      </c>
      <c r="C27">
        <v>24</v>
      </c>
      <c r="D27">
        <f t="shared" si="6"/>
        <v>22</v>
      </c>
      <c r="E27" s="3">
        <v>10</v>
      </c>
      <c r="G27" s="3">
        <f>1849.8-1731.1</f>
        <v>118.70000000000005</v>
      </c>
      <c r="H27" s="8">
        <f t="shared" si="7"/>
        <v>5.2679719618676151</v>
      </c>
    </row>
    <row r="28" spans="1:8" ht="17" x14ac:dyDescent="0.2">
      <c r="A28" s="4" t="s">
        <v>13</v>
      </c>
      <c r="B28" s="6">
        <v>26</v>
      </c>
      <c r="C28" s="6">
        <v>31</v>
      </c>
      <c r="D28">
        <f t="shared" si="6"/>
        <v>28.5</v>
      </c>
      <c r="E28" s="4">
        <v>1000</v>
      </c>
      <c r="F28" s="4"/>
      <c r="G28" s="4">
        <f>1890-1682.4</f>
        <v>207.59999999999991</v>
      </c>
      <c r="H28" s="8">
        <f t="shared" si="7"/>
        <v>7.1376175108320901</v>
      </c>
    </row>
    <row r="29" spans="1:8" x14ac:dyDescent="0.2">
      <c r="A29" s="3" t="s">
        <v>16</v>
      </c>
      <c r="D29" t="e">
        <f t="shared" si="6"/>
        <v>#DIV/0!</v>
      </c>
      <c r="E29" s="3"/>
      <c r="F29" s="3">
        <v>0</v>
      </c>
      <c r="G29" s="3">
        <f>1941.7-1904.7</f>
        <v>37</v>
      </c>
      <c r="H29" s="8" t="e">
        <f>LOG10(10*F29/G29*1000)</f>
        <v>#NUM!</v>
      </c>
    </row>
    <row r="30" spans="1:8" x14ac:dyDescent="0.2">
      <c r="A30" s="3" t="s">
        <v>14</v>
      </c>
      <c r="D30" t="e">
        <f t="shared" si="6"/>
        <v>#DIV/0!</v>
      </c>
      <c r="E30" s="3"/>
      <c r="F30" s="3">
        <v>0</v>
      </c>
      <c r="G30" s="3">
        <f>1679.8-1611.5</f>
        <v>68.299999999999955</v>
      </c>
      <c r="H30" s="8" t="e">
        <f t="shared" ref="H30:H32" si="8">LOG10(10*F30/G30*1000)</f>
        <v>#NUM!</v>
      </c>
    </row>
    <row r="31" spans="1:8" x14ac:dyDescent="0.2">
      <c r="A31" s="3" t="s">
        <v>15</v>
      </c>
      <c r="D31" t="e">
        <f t="shared" si="6"/>
        <v>#DIV/0!</v>
      </c>
      <c r="E31" s="3"/>
      <c r="F31" s="3">
        <v>0</v>
      </c>
      <c r="G31" s="3">
        <f>2597.6-1746.1</f>
        <v>851.5</v>
      </c>
      <c r="H31" s="8" t="e">
        <f t="shared" si="8"/>
        <v>#NUM!</v>
      </c>
    </row>
    <row r="32" spans="1:8" x14ac:dyDescent="0.2">
      <c r="A32" s="3" t="s">
        <v>19</v>
      </c>
      <c r="D32" t="e">
        <f t="shared" si="6"/>
        <v>#DIV/0!</v>
      </c>
      <c r="E32" s="3"/>
      <c r="F32" s="3">
        <v>0</v>
      </c>
      <c r="G32" s="3">
        <f>1816.4-1663.3</f>
        <v>153.10000000000014</v>
      </c>
      <c r="H32" s="8" t="e">
        <f t="shared" si="8"/>
        <v>#NUM!</v>
      </c>
    </row>
    <row r="33" spans="1:8" x14ac:dyDescent="0.2">
      <c r="A33" s="3"/>
      <c r="G33" s="3"/>
      <c r="H33" s="8"/>
    </row>
    <row r="34" spans="1:8" ht="51" x14ac:dyDescent="0.2">
      <c r="A34" s="2" t="s">
        <v>29</v>
      </c>
      <c r="B34" s="26" t="s">
        <v>0</v>
      </c>
      <c r="C34" s="26"/>
      <c r="D34" s="4" t="s">
        <v>1</v>
      </c>
      <c r="E34" s="4" t="s">
        <v>2</v>
      </c>
      <c r="F34" s="4" t="s">
        <v>32</v>
      </c>
      <c r="G34" s="4" t="s">
        <v>17</v>
      </c>
      <c r="H34" s="7" t="s">
        <v>18</v>
      </c>
    </row>
    <row r="35" spans="1:8" x14ac:dyDescent="0.2">
      <c r="A35" s="3" t="s">
        <v>9</v>
      </c>
      <c r="B35">
        <v>14</v>
      </c>
      <c r="D35">
        <f>AVERAGE(B35:C35)</f>
        <v>14</v>
      </c>
      <c r="E35" s="3">
        <v>10</v>
      </c>
      <c r="G35" s="3">
        <f>2474.1-1799.4</f>
        <v>674.69999999999982</v>
      </c>
      <c r="H35" s="8">
        <f>LOG10(D35*100*E35/G35*1000)</f>
        <v>4.3170173255229436</v>
      </c>
    </row>
    <row r="36" spans="1:8" x14ac:dyDescent="0.2">
      <c r="A36" s="3" t="s">
        <v>10</v>
      </c>
      <c r="B36">
        <v>78</v>
      </c>
      <c r="C36">
        <v>68</v>
      </c>
      <c r="D36">
        <f t="shared" ref="D36:D43" si="9">AVERAGE(B36:C36)</f>
        <v>73</v>
      </c>
      <c r="E36" s="3">
        <v>100</v>
      </c>
      <c r="G36" s="3">
        <f>3699.8-1619.6</f>
        <v>2080.2000000000003</v>
      </c>
      <c r="H36" s="8">
        <f>LOG10(D36*100*E36/G36*1000)</f>
        <v>5.5452177680804153</v>
      </c>
    </row>
    <row r="37" spans="1:8" x14ac:dyDescent="0.2">
      <c r="A37" s="3" t="s">
        <v>11</v>
      </c>
      <c r="B37">
        <v>40</v>
      </c>
      <c r="C37">
        <v>29</v>
      </c>
      <c r="D37">
        <f t="shared" si="9"/>
        <v>34.5</v>
      </c>
      <c r="E37" s="3">
        <v>10000</v>
      </c>
      <c r="G37" s="3">
        <f>3168.2-1681.5</f>
        <v>1486.6999999999998</v>
      </c>
      <c r="H37" s="8">
        <f t="shared" ref="H37:H39" si="10">LOG10(D37*100*E37/G37*1000)</f>
        <v>7.365595753645521</v>
      </c>
    </row>
    <row r="38" spans="1:8" x14ac:dyDescent="0.2">
      <c r="A38" s="3" t="s">
        <v>12</v>
      </c>
      <c r="B38">
        <v>38</v>
      </c>
      <c r="C38">
        <v>25</v>
      </c>
      <c r="D38">
        <f t="shared" si="9"/>
        <v>31.5</v>
      </c>
      <c r="E38" s="3">
        <v>10</v>
      </c>
      <c r="G38" s="3">
        <f>1885.3-1734.3</f>
        <v>151</v>
      </c>
      <c r="H38" s="8">
        <f t="shared" si="10"/>
        <v>5.3193336064964312</v>
      </c>
    </row>
    <row r="39" spans="1:8" ht="17" x14ac:dyDescent="0.2">
      <c r="A39" s="4" t="s">
        <v>13</v>
      </c>
      <c r="B39" s="6">
        <v>39</v>
      </c>
      <c r="C39" s="6">
        <v>27</v>
      </c>
      <c r="D39">
        <f t="shared" si="9"/>
        <v>33</v>
      </c>
      <c r="E39" s="4">
        <v>1000</v>
      </c>
      <c r="F39" s="4"/>
      <c r="G39" s="4">
        <f>2158-1930.6</f>
        <v>227.40000000000009</v>
      </c>
      <c r="H39" s="8">
        <f t="shared" si="10"/>
        <v>7.1617234795261711</v>
      </c>
    </row>
    <row r="40" spans="1:8" x14ac:dyDescent="0.2">
      <c r="A40" s="3" t="s">
        <v>16</v>
      </c>
      <c r="D40" t="e">
        <f t="shared" si="9"/>
        <v>#DIV/0!</v>
      </c>
      <c r="E40" s="3"/>
      <c r="F40" s="3">
        <v>0</v>
      </c>
      <c r="G40" s="3">
        <f>1606.3-1559.8</f>
        <v>46.5</v>
      </c>
      <c r="H40" s="8" t="e">
        <f>LOG10(10*F40/G40*1000)</f>
        <v>#NUM!</v>
      </c>
    </row>
    <row r="41" spans="1:8" x14ac:dyDescent="0.2">
      <c r="A41" s="3" t="s">
        <v>14</v>
      </c>
      <c r="D41" t="e">
        <f t="shared" si="9"/>
        <v>#DIV/0!</v>
      </c>
      <c r="E41" s="3"/>
      <c r="F41" s="3">
        <v>0</v>
      </c>
      <c r="G41" s="3">
        <f>1783.9-1699.1</f>
        <v>84.800000000000182</v>
      </c>
      <c r="H41" s="8" t="e">
        <f t="shared" ref="H41:H43" si="11">LOG10(10*F41/G41*1000)</f>
        <v>#NUM!</v>
      </c>
    </row>
    <row r="42" spans="1:8" x14ac:dyDescent="0.2">
      <c r="A42" s="3" t="s">
        <v>15</v>
      </c>
      <c r="D42" t="e">
        <f t="shared" si="9"/>
        <v>#DIV/0!</v>
      </c>
      <c r="E42" s="3"/>
      <c r="F42" s="3">
        <v>0</v>
      </c>
      <c r="G42" s="3">
        <f>2380.9-1640.5</f>
        <v>740.40000000000009</v>
      </c>
      <c r="H42" s="8" t="e">
        <f t="shared" si="11"/>
        <v>#NUM!</v>
      </c>
    </row>
    <row r="43" spans="1:8" x14ac:dyDescent="0.2">
      <c r="A43" s="3" t="s">
        <v>19</v>
      </c>
      <c r="D43" t="e">
        <f t="shared" si="9"/>
        <v>#DIV/0!</v>
      </c>
      <c r="E43" s="3"/>
      <c r="F43" s="3">
        <v>0</v>
      </c>
      <c r="G43" s="3">
        <f>1923.7-1788.8</f>
        <v>134.90000000000009</v>
      </c>
      <c r="H43" s="8" t="e">
        <f t="shared" si="11"/>
        <v>#NUM!</v>
      </c>
    </row>
    <row r="45" spans="1:8" ht="51" x14ac:dyDescent="0.2">
      <c r="A45" s="2" t="s">
        <v>30</v>
      </c>
      <c r="B45" s="26" t="s">
        <v>0</v>
      </c>
      <c r="C45" s="26"/>
      <c r="D45" s="4" t="s">
        <v>1</v>
      </c>
      <c r="E45" s="4" t="s">
        <v>2</v>
      </c>
      <c r="F45" s="4" t="s">
        <v>32</v>
      </c>
      <c r="G45" s="4" t="s">
        <v>17</v>
      </c>
      <c r="H45" s="7" t="s">
        <v>18</v>
      </c>
    </row>
    <row r="46" spans="1:8" x14ac:dyDescent="0.2">
      <c r="A46" s="3" t="s">
        <v>9</v>
      </c>
      <c r="B46">
        <v>35</v>
      </c>
      <c r="D46">
        <f>AVERAGE(B46:C46)</f>
        <v>35</v>
      </c>
      <c r="E46" s="3">
        <v>100</v>
      </c>
      <c r="G46" s="3">
        <f>2140.5-1675.6</f>
        <v>464.90000000000009</v>
      </c>
      <c r="H46" s="8">
        <f>LOG10(D46*100*E46/G46*1000)</f>
        <v>5.8767084981671882</v>
      </c>
    </row>
    <row r="47" spans="1:8" x14ac:dyDescent="0.2">
      <c r="A47" s="3" t="s">
        <v>10</v>
      </c>
      <c r="B47">
        <v>14</v>
      </c>
      <c r="C47">
        <v>14</v>
      </c>
      <c r="D47">
        <f t="shared" ref="D47:D54" si="12">AVERAGE(B47:C47)</f>
        <v>14</v>
      </c>
      <c r="E47" s="3">
        <v>100</v>
      </c>
      <c r="G47" s="3">
        <f>3253.4-1671.4</f>
        <v>1582</v>
      </c>
      <c r="H47" s="8">
        <f>LOG10(D47*100*E47/G47*1000)</f>
        <v>4.9469215565165801</v>
      </c>
    </row>
    <row r="48" spans="1:8" x14ac:dyDescent="0.2">
      <c r="A48" s="3" t="s">
        <v>11</v>
      </c>
      <c r="B48">
        <v>16</v>
      </c>
      <c r="C48">
        <v>20</v>
      </c>
      <c r="D48">
        <f t="shared" si="12"/>
        <v>18</v>
      </c>
      <c r="E48" s="3">
        <v>1000000</v>
      </c>
      <c r="G48" s="3">
        <f>3667.8-1734.5</f>
        <v>1933.3000000000002</v>
      </c>
      <c r="H48" s="8">
        <f t="shared" ref="H48:H50" si="13">LOG10(D48*100*E48/G48*1000)</f>
        <v>8.9689732541604776</v>
      </c>
    </row>
    <row r="49" spans="1:8" x14ac:dyDescent="0.2">
      <c r="A49" s="3" t="s">
        <v>12</v>
      </c>
      <c r="B49">
        <v>28</v>
      </c>
      <c r="C49">
        <v>29</v>
      </c>
      <c r="D49">
        <f t="shared" si="12"/>
        <v>28.5</v>
      </c>
      <c r="E49" s="3">
        <v>100</v>
      </c>
      <c r="G49" s="3">
        <f>1840-1740.3</f>
        <v>99.700000000000045</v>
      </c>
      <c r="H49" s="8">
        <f t="shared" si="13"/>
        <v>6.4561497016968543</v>
      </c>
    </row>
    <row r="50" spans="1:8" ht="17" x14ac:dyDescent="0.2">
      <c r="A50" s="4" t="s">
        <v>13</v>
      </c>
      <c r="B50" s="6">
        <v>78</v>
      </c>
      <c r="C50" s="6">
        <v>89</v>
      </c>
      <c r="D50">
        <f t="shared" si="12"/>
        <v>83.5</v>
      </c>
      <c r="E50" s="4">
        <v>10000</v>
      </c>
      <c r="F50" s="4"/>
      <c r="G50" s="4">
        <f>1806.3-1662.3</f>
        <v>144</v>
      </c>
      <c r="H50" s="8">
        <f t="shared" si="13"/>
        <v>8.7633239833883518</v>
      </c>
    </row>
    <row r="51" spans="1:8" x14ac:dyDescent="0.2">
      <c r="A51" s="3" t="s">
        <v>16</v>
      </c>
      <c r="D51" t="e">
        <f t="shared" si="12"/>
        <v>#DIV/0!</v>
      </c>
      <c r="E51" s="3"/>
      <c r="F51" s="3">
        <v>1</v>
      </c>
      <c r="G51" s="3">
        <f>1648.3-1597</f>
        <v>51.299999999999955</v>
      </c>
      <c r="H51" s="8">
        <f>LOG10(10*F51/G51*1000)</f>
        <v>2.2898826348881842</v>
      </c>
    </row>
    <row r="52" spans="1:8" x14ac:dyDescent="0.2">
      <c r="A52" s="3" t="s">
        <v>14</v>
      </c>
      <c r="D52" t="e">
        <f t="shared" si="12"/>
        <v>#DIV/0!</v>
      </c>
      <c r="E52" s="3"/>
      <c r="F52" s="3">
        <v>0</v>
      </c>
      <c r="G52" s="3">
        <f>1780.1-1715.9</f>
        <v>64.199999999999818</v>
      </c>
      <c r="H52" s="8" t="e">
        <f t="shared" ref="H52:H54" si="14">LOG10(10*F52/G52*1000)</f>
        <v>#NUM!</v>
      </c>
    </row>
    <row r="53" spans="1:8" x14ac:dyDescent="0.2">
      <c r="A53" s="3" t="s">
        <v>15</v>
      </c>
      <c r="D53" t="e">
        <f t="shared" si="12"/>
        <v>#DIV/0!</v>
      </c>
      <c r="E53" s="3"/>
      <c r="F53" s="3">
        <v>0</v>
      </c>
      <c r="G53" s="3">
        <f>2418.4-1757.8</f>
        <v>660.60000000000014</v>
      </c>
      <c r="H53" s="8" t="e">
        <f t="shared" si="14"/>
        <v>#NUM!</v>
      </c>
    </row>
    <row r="54" spans="1:8" x14ac:dyDescent="0.2">
      <c r="A54" s="3" t="s">
        <v>19</v>
      </c>
      <c r="D54" t="e">
        <f t="shared" si="12"/>
        <v>#DIV/0!</v>
      </c>
      <c r="E54" s="3"/>
      <c r="F54" s="3">
        <v>0</v>
      </c>
      <c r="G54" s="3">
        <f>1906.3-1785.9</f>
        <v>120.39999999999986</v>
      </c>
      <c r="H54" s="8" t="e">
        <f t="shared" si="14"/>
        <v>#NUM!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A111FF-2CA3-034A-B500-551ACF71245D}">
  <dimension ref="A1:H54"/>
  <sheetViews>
    <sheetView topLeftCell="A29" workbookViewId="0">
      <selection activeCell="H46" sqref="H46:H50"/>
    </sheetView>
  </sheetViews>
  <sheetFormatPr baseColWidth="10" defaultRowHeight="16" x14ac:dyDescent="0.2"/>
  <cols>
    <col min="1" max="1" width="19" customWidth="1"/>
    <col min="6" max="6" width="10.83203125" style="3"/>
  </cols>
  <sheetData>
    <row r="1" spans="1:8" ht="51" x14ac:dyDescent="0.2">
      <c r="A1" s="2" t="s">
        <v>38</v>
      </c>
      <c r="B1" s="26" t="s">
        <v>0</v>
      </c>
      <c r="C1" s="26"/>
      <c r="D1" s="4" t="s">
        <v>1</v>
      </c>
      <c r="E1" s="4" t="s">
        <v>2</v>
      </c>
      <c r="F1" s="4" t="s">
        <v>32</v>
      </c>
      <c r="G1" s="4" t="s">
        <v>17</v>
      </c>
      <c r="H1" s="7" t="s">
        <v>18</v>
      </c>
    </row>
    <row r="2" spans="1:8" x14ac:dyDescent="0.2">
      <c r="A2" s="3" t="s">
        <v>9</v>
      </c>
      <c r="C2">
        <v>36</v>
      </c>
      <c r="D2">
        <f>AVERAGE(B2:C2)</f>
        <v>36</v>
      </c>
      <c r="E2" s="3">
        <v>10</v>
      </c>
      <c r="G2" s="3">
        <f>2092.5-1664</f>
        <v>428.5</v>
      </c>
      <c r="H2" s="8">
        <f>LOG10(D2*100*E2/G2*1000)</f>
        <v>4.9243516745080704</v>
      </c>
    </row>
    <row r="3" spans="1:8" x14ac:dyDescent="0.2">
      <c r="A3" s="3" t="s">
        <v>10</v>
      </c>
      <c r="B3">
        <v>0</v>
      </c>
      <c r="C3">
        <v>4</v>
      </c>
      <c r="D3">
        <f t="shared" ref="D3:D9" si="0">AVERAGE(B3:C3)</f>
        <v>2</v>
      </c>
      <c r="E3" s="3">
        <v>10</v>
      </c>
      <c r="G3" s="3">
        <f>3256.9-1769.6</f>
        <v>1487.3000000000002</v>
      </c>
      <c r="H3" s="8">
        <f>LOG10(D3*100*E3/G3*1000)</f>
        <v>3.1286314177246766</v>
      </c>
    </row>
    <row r="4" spans="1:8" x14ac:dyDescent="0.2">
      <c r="A4" s="3" t="s">
        <v>11</v>
      </c>
      <c r="B4">
        <v>11</v>
      </c>
      <c r="C4">
        <v>11</v>
      </c>
      <c r="D4">
        <f t="shared" si="0"/>
        <v>11</v>
      </c>
      <c r="E4" s="3">
        <v>1</v>
      </c>
      <c r="G4" s="3">
        <f>2668.5-1673.2</f>
        <v>995.3</v>
      </c>
      <c r="H4" s="8">
        <f t="shared" ref="H4:H8" si="1">LOG10(D4*100*E4/G4*1000)</f>
        <v>3.0434386810888219</v>
      </c>
    </row>
    <row r="5" spans="1:8" x14ac:dyDescent="0.2">
      <c r="A5" s="3" t="s">
        <v>12</v>
      </c>
      <c r="B5">
        <v>1</v>
      </c>
      <c r="C5">
        <v>0</v>
      </c>
      <c r="D5">
        <f t="shared" si="0"/>
        <v>0.5</v>
      </c>
      <c r="E5" s="3">
        <v>1</v>
      </c>
      <c r="G5" s="3">
        <f>1986.3-1795.8</f>
        <v>190.5</v>
      </c>
      <c r="H5" s="8">
        <f t="shared" si="1"/>
        <v>2.4190750243243806</v>
      </c>
    </row>
    <row r="6" spans="1:8" ht="17" x14ac:dyDescent="0.2">
      <c r="A6" s="4" t="s">
        <v>13</v>
      </c>
      <c r="B6" s="6">
        <v>2</v>
      </c>
      <c r="C6" s="6">
        <v>4</v>
      </c>
      <c r="D6">
        <f t="shared" si="0"/>
        <v>3</v>
      </c>
      <c r="E6" s="4">
        <v>1</v>
      </c>
      <c r="F6" s="4"/>
      <c r="G6" s="4">
        <f>1972.2-1680.1</f>
        <v>292.10000000000014</v>
      </c>
      <c r="H6" s="8">
        <f t="shared" si="1"/>
        <v>3.0115896977461123</v>
      </c>
    </row>
    <row r="7" spans="1:8" x14ac:dyDescent="0.2">
      <c r="A7" s="3" t="s">
        <v>39</v>
      </c>
      <c r="D7" t="e">
        <f t="shared" si="0"/>
        <v>#DIV/0!</v>
      </c>
      <c r="E7" s="3"/>
      <c r="F7" s="3">
        <v>0</v>
      </c>
      <c r="G7" s="3">
        <f>1615-1609.3</f>
        <v>5.7000000000000455</v>
      </c>
      <c r="H7" s="8" t="e">
        <f t="shared" si="1"/>
        <v>#DIV/0!</v>
      </c>
    </row>
    <row r="8" spans="1:8" x14ac:dyDescent="0.2">
      <c r="A8" s="3" t="s">
        <v>14</v>
      </c>
      <c r="D8" t="e">
        <f t="shared" si="0"/>
        <v>#DIV/0!</v>
      </c>
      <c r="E8" s="3"/>
      <c r="F8" s="3">
        <v>0</v>
      </c>
      <c r="G8" s="3">
        <f>1710.9-1596.9</f>
        <v>114</v>
      </c>
      <c r="H8" s="8" t="e">
        <f t="shared" si="1"/>
        <v>#DIV/0!</v>
      </c>
    </row>
    <row r="9" spans="1:8" x14ac:dyDescent="0.2">
      <c r="A9" s="3" t="s">
        <v>15</v>
      </c>
      <c r="D9" t="e">
        <f t="shared" si="0"/>
        <v>#DIV/0!</v>
      </c>
      <c r="E9" s="3"/>
      <c r="F9" s="3">
        <v>0</v>
      </c>
      <c r="G9" s="3">
        <f>2849.3-1675.9</f>
        <v>1173.4000000000001</v>
      </c>
      <c r="H9" s="8" t="e">
        <f>LOG10(F9*10/G9*1000)</f>
        <v>#NUM!</v>
      </c>
    </row>
    <row r="10" spans="1:8" x14ac:dyDescent="0.2">
      <c r="A10" s="3" t="s">
        <v>19</v>
      </c>
      <c r="D10" t="e">
        <f>AVERAGE(B10:C10)</f>
        <v>#DIV/0!</v>
      </c>
      <c r="E10" s="3"/>
      <c r="F10" s="3">
        <v>0</v>
      </c>
      <c r="G10" s="3">
        <f>1891.8-1728.2</f>
        <v>163.59999999999991</v>
      </c>
      <c r="H10" s="8" t="e">
        <f>LOG10(F10*10/G10*1000)</f>
        <v>#NUM!</v>
      </c>
    </row>
    <row r="11" spans="1:8" x14ac:dyDescent="0.2">
      <c r="E11" s="3"/>
      <c r="G11" s="3"/>
      <c r="H11" s="8"/>
    </row>
    <row r="12" spans="1:8" ht="51" x14ac:dyDescent="0.2">
      <c r="A12" s="2" t="s">
        <v>33</v>
      </c>
      <c r="B12" s="26" t="s">
        <v>0</v>
      </c>
      <c r="C12" s="26"/>
      <c r="D12" s="4" t="s">
        <v>1</v>
      </c>
      <c r="E12" s="4" t="s">
        <v>2</v>
      </c>
      <c r="F12" s="4" t="s">
        <v>32</v>
      </c>
      <c r="G12" s="4" t="s">
        <v>17</v>
      </c>
      <c r="H12" s="7" t="s">
        <v>18</v>
      </c>
    </row>
    <row r="13" spans="1:8" x14ac:dyDescent="0.2">
      <c r="A13" s="3" t="s">
        <v>9</v>
      </c>
      <c r="D13" t="e">
        <f>AVERAGE(B13:C13)</f>
        <v>#DIV/0!</v>
      </c>
      <c r="E13" s="3"/>
      <c r="F13" s="3">
        <v>22</v>
      </c>
      <c r="G13" s="3">
        <f>2305.1-1857.3</f>
        <v>447.79999999999995</v>
      </c>
      <c r="H13" s="8">
        <f>LOG10(10*F13/G13*1000)</f>
        <v>2.691338591579195</v>
      </c>
    </row>
    <row r="14" spans="1:8" x14ac:dyDescent="0.2">
      <c r="A14" s="3" t="s">
        <v>10</v>
      </c>
      <c r="B14">
        <v>0</v>
      </c>
      <c r="C14">
        <v>1</v>
      </c>
      <c r="D14">
        <f t="shared" ref="D14:D21" si="2">AVERAGE(B14:C14)</f>
        <v>0.5</v>
      </c>
      <c r="E14" s="3">
        <v>1</v>
      </c>
      <c r="G14" s="3">
        <f>2882.5-1583.5</f>
        <v>1299</v>
      </c>
      <c r="H14" s="8">
        <f>LOG10(D14*100*E14/G14*1000)</f>
        <v>1.585360853262991</v>
      </c>
    </row>
    <row r="15" spans="1:8" x14ac:dyDescent="0.2">
      <c r="A15" s="3" t="s">
        <v>11</v>
      </c>
      <c r="B15">
        <v>44</v>
      </c>
      <c r="C15">
        <v>26</v>
      </c>
      <c r="D15">
        <f t="shared" si="2"/>
        <v>35</v>
      </c>
      <c r="E15" s="3">
        <v>1</v>
      </c>
      <c r="G15" s="3">
        <f>2623.3-1660.8</f>
        <v>962.50000000000023</v>
      </c>
      <c r="H15" s="8">
        <f t="shared" ref="H13:H21" si="3">LOG10(D15*100*E15/G15*1000)</f>
        <v>3.5606673061697371</v>
      </c>
    </row>
    <row r="16" spans="1:8" x14ac:dyDescent="0.2">
      <c r="A16" s="3" t="s">
        <v>12</v>
      </c>
      <c r="B16">
        <v>0</v>
      </c>
      <c r="C16">
        <v>1</v>
      </c>
      <c r="D16">
        <f t="shared" si="2"/>
        <v>0.5</v>
      </c>
      <c r="E16" s="3">
        <v>1</v>
      </c>
      <c r="G16" s="3">
        <f>1805.1-1643.2</f>
        <v>161.89999999999986</v>
      </c>
      <c r="H16" s="8">
        <f t="shared" si="3"/>
        <v>2.4897231555826456</v>
      </c>
    </row>
    <row r="17" spans="1:8" ht="17" x14ac:dyDescent="0.2">
      <c r="A17" s="4" t="s">
        <v>13</v>
      </c>
      <c r="B17" s="6">
        <v>5</v>
      </c>
      <c r="C17" s="6">
        <v>7</v>
      </c>
      <c r="D17">
        <f t="shared" si="2"/>
        <v>6</v>
      </c>
      <c r="E17" s="4">
        <v>1</v>
      </c>
      <c r="F17" s="4"/>
      <c r="G17" s="4">
        <f>1999.5-1745.9</f>
        <v>253.59999999999991</v>
      </c>
      <c r="H17" s="8">
        <f t="shared" si="3"/>
        <v>3.3740020011739489</v>
      </c>
    </row>
    <row r="18" spans="1:8" x14ac:dyDescent="0.2">
      <c r="A18" s="3" t="s">
        <v>16</v>
      </c>
      <c r="D18" t="e">
        <f t="shared" si="2"/>
        <v>#DIV/0!</v>
      </c>
      <c r="E18" s="3"/>
      <c r="F18" s="3">
        <v>0</v>
      </c>
      <c r="G18" s="3">
        <f>1746.3-1723.5</f>
        <v>22.799999999999955</v>
      </c>
      <c r="H18" s="8" t="e">
        <f>LOG10(D18*100*E18/G18*1000)</f>
        <v>#DIV/0!</v>
      </c>
    </row>
    <row r="19" spans="1:8" x14ac:dyDescent="0.2">
      <c r="A19" s="3" t="s">
        <v>14</v>
      </c>
      <c r="D19" t="e">
        <f t="shared" si="2"/>
        <v>#DIV/0!</v>
      </c>
      <c r="E19" s="3"/>
      <c r="F19" s="3">
        <v>0</v>
      </c>
      <c r="G19" s="3">
        <f>1834.9-1735.1</f>
        <v>99.800000000000182</v>
      </c>
      <c r="H19" s="8" t="e">
        <f>LOG10(D19*100*E19/G19*1000)</f>
        <v>#DIV/0!</v>
      </c>
    </row>
    <row r="20" spans="1:8" x14ac:dyDescent="0.2">
      <c r="A20" s="3" t="s">
        <v>15</v>
      </c>
      <c r="D20" t="e">
        <f t="shared" si="2"/>
        <v>#DIV/0!</v>
      </c>
      <c r="E20" s="3"/>
      <c r="F20" s="3">
        <v>0</v>
      </c>
      <c r="G20" s="3">
        <f>2876.1-1628</f>
        <v>1248.0999999999999</v>
      </c>
      <c r="H20" s="8" t="e">
        <f>LOG10(D20*100*E20/G20*1000)</f>
        <v>#DIV/0!</v>
      </c>
    </row>
    <row r="21" spans="1:8" x14ac:dyDescent="0.2">
      <c r="A21" s="3" t="s">
        <v>19</v>
      </c>
      <c r="D21" t="e">
        <f t="shared" si="2"/>
        <v>#DIV/0!</v>
      </c>
      <c r="E21" s="3"/>
      <c r="F21" s="3">
        <v>0</v>
      </c>
      <c r="G21" s="3">
        <f>1881.8-1740.7</f>
        <v>141.09999999999991</v>
      </c>
      <c r="H21" s="8" t="e">
        <f t="shared" si="3"/>
        <v>#DIV/0!</v>
      </c>
    </row>
    <row r="22" spans="1:8" x14ac:dyDescent="0.2">
      <c r="A22" s="3"/>
      <c r="G22" s="3"/>
      <c r="H22" s="8"/>
    </row>
    <row r="23" spans="1:8" ht="51" x14ac:dyDescent="0.2">
      <c r="A23" s="2" t="s">
        <v>34</v>
      </c>
      <c r="B23" s="26" t="s">
        <v>0</v>
      </c>
      <c r="C23" s="26"/>
      <c r="D23" s="4" t="s">
        <v>1</v>
      </c>
      <c r="E23" s="4" t="s">
        <v>2</v>
      </c>
      <c r="F23" s="4" t="s">
        <v>32</v>
      </c>
      <c r="G23" s="4" t="s">
        <v>17</v>
      </c>
      <c r="H23" s="7" t="s">
        <v>18</v>
      </c>
    </row>
    <row r="24" spans="1:8" x14ac:dyDescent="0.2">
      <c r="A24" s="3" t="s">
        <v>9</v>
      </c>
      <c r="C24">
        <v>18</v>
      </c>
      <c r="D24">
        <f>AVERAGE(B24:C24)</f>
        <v>18</v>
      </c>
      <c r="E24" s="3">
        <v>100</v>
      </c>
      <c r="G24" s="3">
        <f>2430-1679.1</f>
        <v>750.90000000000009</v>
      </c>
      <c r="H24" s="8">
        <f>LOG10(D24*100*E24/G24*1000)</f>
        <v>5.37969040077542</v>
      </c>
    </row>
    <row r="25" spans="1:8" x14ac:dyDescent="0.2">
      <c r="A25" s="3" t="s">
        <v>10</v>
      </c>
      <c r="B25">
        <v>4</v>
      </c>
      <c r="C25">
        <v>4</v>
      </c>
      <c r="D25">
        <f t="shared" ref="D25:D32" si="4">AVERAGE(B25:C25)</f>
        <v>4</v>
      </c>
      <c r="E25" s="3">
        <v>1</v>
      </c>
      <c r="G25" s="3">
        <f>3089.2-1672.4</f>
        <v>1416.7999999999997</v>
      </c>
      <c r="H25" s="8">
        <f>LOG10(D25*100*E25/G25*1000)</f>
        <v>2.4507514431459443</v>
      </c>
    </row>
    <row r="26" spans="1:8" x14ac:dyDescent="0.2">
      <c r="A26" s="3" t="s">
        <v>11</v>
      </c>
      <c r="B26">
        <v>75</v>
      </c>
      <c r="C26">
        <v>87</v>
      </c>
      <c r="D26">
        <f t="shared" si="4"/>
        <v>81</v>
      </c>
      <c r="E26" s="3">
        <v>1000</v>
      </c>
      <c r="G26" s="3">
        <f>3080.7-1714.8</f>
        <v>1365.8999999999999</v>
      </c>
      <c r="H26" s="8">
        <f t="shared" ref="H26:H29" si="5">LOG10(D26*100*E26/G26*1000)</f>
        <v>6.7730661138507973</v>
      </c>
    </row>
    <row r="27" spans="1:8" x14ac:dyDescent="0.2">
      <c r="A27" s="3" t="s">
        <v>12</v>
      </c>
      <c r="B27">
        <v>24</v>
      </c>
      <c r="C27">
        <v>13</v>
      </c>
      <c r="D27">
        <f t="shared" si="4"/>
        <v>18.5</v>
      </c>
      <c r="E27" s="3">
        <v>10</v>
      </c>
      <c r="G27" s="3">
        <f>1811.6-1671.2</f>
        <v>140.39999999999986</v>
      </c>
      <c r="H27" s="8">
        <f t="shared" si="5"/>
        <v>5.1198046206092274</v>
      </c>
    </row>
    <row r="28" spans="1:8" ht="17" x14ac:dyDescent="0.2">
      <c r="A28" s="4" t="s">
        <v>13</v>
      </c>
      <c r="B28" s="6">
        <v>11</v>
      </c>
      <c r="C28" s="6">
        <v>18</v>
      </c>
      <c r="D28">
        <f t="shared" si="4"/>
        <v>14.5</v>
      </c>
      <c r="E28" s="4">
        <v>100</v>
      </c>
      <c r="F28" s="4"/>
      <c r="G28" s="4">
        <f>1759.8-1657.8</f>
        <v>102</v>
      </c>
      <c r="H28" s="8">
        <f t="shared" si="5"/>
        <v>6.1527678304730573</v>
      </c>
    </row>
    <row r="29" spans="1:8" x14ac:dyDescent="0.2">
      <c r="A29" s="3" t="s">
        <v>16</v>
      </c>
      <c r="D29" t="e">
        <f t="shared" si="4"/>
        <v>#DIV/0!</v>
      </c>
      <c r="E29" s="3"/>
      <c r="F29" s="3">
        <v>0</v>
      </c>
      <c r="G29" s="3">
        <f>1806.1-1785.1</f>
        <v>21</v>
      </c>
      <c r="H29" s="8" t="e">
        <f t="shared" si="5"/>
        <v>#DIV/0!</v>
      </c>
    </row>
    <row r="30" spans="1:8" x14ac:dyDescent="0.2">
      <c r="A30" s="3" t="s">
        <v>14</v>
      </c>
      <c r="D30" t="e">
        <f t="shared" si="4"/>
        <v>#DIV/0!</v>
      </c>
      <c r="E30" s="3"/>
      <c r="F30" s="3">
        <v>0</v>
      </c>
      <c r="G30" s="3">
        <f>1842.4-1742.7</f>
        <v>99.700000000000045</v>
      </c>
      <c r="H30" s="8" t="e">
        <f>LOG10(F30*10/G30*1000)</f>
        <v>#NUM!</v>
      </c>
    </row>
    <row r="31" spans="1:8" x14ac:dyDescent="0.2">
      <c r="A31" s="3" t="s">
        <v>15</v>
      </c>
      <c r="D31" t="e">
        <f t="shared" si="4"/>
        <v>#DIV/0!</v>
      </c>
      <c r="E31" s="3"/>
      <c r="F31" s="3">
        <v>0</v>
      </c>
      <c r="G31" s="3">
        <f>2902.5-1674.6</f>
        <v>1227.9000000000001</v>
      </c>
      <c r="H31" s="8" t="e">
        <f t="shared" ref="H31:H32" si="6">LOG10(F31*10/G31*1000)</f>
        <v>#NUM!</v>
      </c>
    </row>
    <row r="32" spans="1:8" x14ac:dyDescent="0.2">
      <c r="A32" s="3" t="s">
        <v>19</v>
      </c>
      <c r="D32" t="e">
        <f t="shared" si="4"/>
        <v>#DIV/0!</v>
      </c>
      <c r="E32" s="3"/>
      <c r="F32" s="3">
        <v>0</v>
      </c>
      <c r="G32" s="3">
        <f>1945.6-1802.7</f>
        <v>142.89999999999986</v>
      </c>
      <c r="H32" s="8" t="e">
        <f t="shared" si="6"/>
        <v>#NUM!</v>
      </c>
    </row>
    <row r="33" spans="1:8" x14ac:dyDescent="0.2">
      <c r="A33" s="3"/>
      <c r="G33" s="3"/>
      <c r="H33" s="8"/>
    </row>
    <row r="34" spans="1:8" ht="51" x14ac:dyDescent="0.2">
      <c r="A34" s="2" t="s">
        <v>35</v>
      </c>
      <c r="B34" s="26" t="s">
        <v>0</v>
      </c>
      <c r="C34" s="26"/>
      <c r="D34" s="4" t="s">
        <v>1</v>
      </c>
      <c r="E34" s="4" t="s">
        <v>2</v>
      </c>
      <c r="F34" s="4" t="s">
        <v>32</v>
      </c>
      <c r="G34" s="4" t="s">
        <v>17</v>
      </c>
      <c r="H34" s="7" t="s">
        <v>18</v>
      </c>
    </row>
    <row r="35" spans="1:8" x14ac:dyDescent="0.2">
      <c r="A35" s="3" t="s">
        <v>9</v>
      </c>
      <c r="C35">
        <v>10</v>
      </c>
      <c r="D35">
        <f>AVERAGE(B35:C35)</f>
        <v>10</v>
      </c>
      <c r="E35" s="3">
        <v>100</v>
      </c>
      <c r="G35" s="3">
        <f>2720.6-1774</f>
        <v>946.59999999999991</v>
      </c>
      <c r="H35" s="8">
        <f>LOG10(D35*100*E35/G35*1000)</f>
        <v>5.023833499868025</v>
      </c>
    </row>
    <row r="36" spans="1:8" x14ac:dyDescent="0.2">
      <c r="A36" s="3" t="s">
        <v>10</v>
      </c>
      <c r="B36">
        <v>5</v>
      </c>
      <c r="C36">
        <v>1</v>
      </c>
      <c r="D36">
        <f t="shared" ref="D36:D43" si="7">AVERAGE(B36:C36)</f>
        <v>3</v>
      </c>
      <c r="E36" s="3">
        <v>10</v>
      </c>
      <c r="G36" s="3">
        <f>3276.6-1615.1</f>
        <v>1661.5</v>
      </c>
      <c r="H36" s="8">
        <f t="shared" ref="H36:H39" si="8">LOG10(D36*100*E36/G36*1000)</f>
        <v>3.2566209091049325</v>
      </c>
    </row>
    <row r="37" spans="1:8" x14ac:dyDescent="0.2">
      <c r="A37" s="3" t="s">
        <v>11</v>
      </c>
      <c r="B37">
        <v>43</v>
      </c>
      <c r="C37">
        <v>42</v>
      </c>
      <c r="D37">
        <f t="shared" si="7"/>
        <v>42.5</v>
      </c>
      <c r="E37" s="3">
        <v>1000</v>
      </c>
      <c r="G37" s="3">
        <f>2980-1677.4</f>
        <v>1302.5999999999999</v>
      </c>
      <c r="H37" s="8">
        <f t="shared" si="8"/>
        <v>6.5135778562122475</v>
      </c>
    </row>
    <row r="38" spans="1:8" x14ac:dyDescent="0.2">
      <c r="A38" s="3" t="s">
        <v>12</v>
      </c>
      <c r="B38">
        <v>63</v>
      </c>
      <c r="C38">
        <v>50</v>
      </c>
      <c r="D38">
        <f t="shared" si="7"/>
        <v>56.5</v>
      </c>
      <c r="E38" s="3">
        <v>1</v>
      </c>
      <c r="G38" s="3">
        <f>1913.3-1740.9</f>
        <v>172.39999999999986</v>
      </c>
      <c r="H38" s="8">
        <f t="shared" si="8"/>
        <v>4.5155111863307447</v>
      </c>
    </row>
    <row r="39" spans="1:8" ht="17" x14ac:dyDescent="0.2">
      <c r="A39" s="4" t="s">
        <v>13</v>
      </c>
      <c r="B39" s="6">
        <v>14</v>
      </c>
      <c r="C39" s="6">
        <v>19</v>
      </c>
      <c r="D39">
        <f t="shared" si="7"/>
        <v>16.5</v>
      </c>
      <c r="E39" s="4">
        <v>100</v>
      </c>
      <c r="F39" s="4"/>
      <c r="G39" s="4">
        <f>1851.6-1672.7</f>
        <v>178.89999999999986</v>
      </c>
      <c r="H39" s="8">
        <f t="shared" si="8"/>
        <v>5.9648736036465335</v>
      </c>
    </row>
    <row r="40" spans="1:8" x14ac:dyDescent="0.2">
      <c r="A40" s="3" t="s">
        <v>16</v>
      </c>
      <c r="D40" t="e">
        <f t="shared" si="7"/>
        <v>#DIV/0!</v>
      </c>
      <c r="E40" s="3"/>
      <c r="F40" s="3">
        <v>0</v>
      </c>
      <c r="G40" s="3">
        <f>1673.6-1654.3</f>
        <v>19.299999999999955</v>
      </c>
      <c r="H40" s="8" t="e">
        <f t="shared" ref="H37:H43" si="9">LOG10(D40*100*E40/G40*1000)</f>
        <v>#DIV/0!</v>
      </c>
    </row>
    <row r="41" spans="1:8" x14ac:dyDescent="0.2">
      <c r="A41" s="3" t="s">
        <v>14</v>
      </c>
      <c r="D41" t="e">
        <f t="shared" si="7"/>
        <v>#DIV/0!</v>
      </c>
      <c r="E41" s="3"/>
      <c r="F41" s="3">
        <v>0</v>
      </c>
      <c r="G41" s="3">
        <f>1784.8-1698</f>
        <v>86.799999999999955</v>
      </c>
      <c r="H41" s="8" t="e">
        <f t="shared" si="9"/>
        <v>#DIV/0!</v>
      </c>
    </row>
    <row r="42" spans="1:8" x14ac:dyDescent="0.2">
      <c r="A42" s="3" t="s">
        <v>15</v>
      </c>
      <c r="D42" t="e">
        <f t="shared" si="7"/>
        <v>#DIV/0!</v>
      </c>
      <c r="E42" s="3"/>
      <c r="F42" s="3">
        <v>0</v>
      </c>
      <c r="G42" s="3">
        <f>2960.7-1748.8</f>
        <v>1211.8999999999999</v>
      </c>
      <c r="H42" s="8" t="e">
        <f t="shared" si="9"/>
        <v>#DIV/0!</v>
      </c>
    </row>
    <row r="43" spans="1:8" x14ac:dyDescent="0.2">
      <c r="A43" s="3" t="s">
        <v>19</v>
      </c>
      <c r="D43" t="e">
        <f t="shared" si="7"/>
        <v>#DIV/0!</v>
      </c>
      <c r="E43" s="3"/>
      <c r="F43" s="3">
        <v>0</v>
      </c>
      <c r="G43" s="3">
        <f>1924.5-1782.9</f>
        <v>141.59999999999991</v>
      </c>
      <c r="H43" s="8" t="e">
        <f t="shared" si="9"/>
        <v>#DIV/0!</v>
      </c>
    </row>
    <row r="45" spans="1:8" ht="51" x14ac:dyDescent="0.2">
      <c r="A45" s="2" t="s">
        <v>36</v>
      </c>
      <c r="B45" s="26" t="s">
        <v>0</v>
      </c>
      <c r="C45" s="26"/>
      <c r="D45" s="4" t="s">
        <v>1</v>
      </c>
      <c r="E45" s="4" t="s">
        <v>2</v>
      </c>
      <c r="F45" s="4" t="s">
        <v>32</v>
      </c>
      <c r="G45" s="4" t="s">
        <v>17</v>
      </c>
      <c r="H45" s="7" t="s">
        <v>18</v>
      </c>
    </row>
    <row r="46" spans="1:8" x14ac:dyDescent="0.2">
      <c r="A46" s="3" t="s">
        <v>9</v>
      </c>
      <c r="C46">
        <v>53</v>
      </c>
      <c r="D46">
        <f>AVERAGE(B46:C46)</f>
        <v>53</v>
      </c>
      <c r="E46" s="3">
        <v>10</v>
      </c>
      <c r="G46" s="3">
        <f>2423.6-1709.4</f>
        <v>714.19999999999982</v>
      </c>
      <c r="H46" s="8">
        <f>LOG10(D46*100*E46/G46*1000)</f>
        <v>4.8704560237440262</v>
      </c>
    </row>
    <row r="47" spans="1:8" x14ac:dyDescent="0.2">
      <c r="A47" s="3" t="s">
        <v>10</v>
      </c>
      <c r="B47">
        <v>0</v>
      </c>
      <c r="C47">
        <v>0</v>
      </c>
      <c r="D47">
        <f t="shared" ref="D47:D54" si="10">AVERAGE(B47:C47)</f>
        <v>0</v>
      </c>
      <c r="E47" s="3">
        <v>1</v>
      </c>
      <c r="G47" s="3">
        <f>2995.3-1727.6</f>
        <v>1267.7000000000003</v>
      </c>
      <c r="H47" s="8" t="e">
        <f>LOG10(F47*10/G47*1000)</f>
        <v>#NUM!</v>
      </c>
    </row>
    <row r="48" spans="1:8" x14ac:dyDescent="0.2">
      <c r="A48" s="3" t="s">
        <v>11</v>
      </c>
      <c r="B48">
        <v>24</v>
      </c>
      <c r="C48">
        <v>22</v>
      </c>
      <c r="D48">
        <f t="shared" si="10"/>
        <v>23</v>
      </c>
      <c r="E48" s="3">
        <v>100</v>
      </c>
      <c r="G48" s="3">
        <f>2988.4-1803.4</f>
        <v>1185</v>
      </c>
      <c r="H48" s="8">
        <f t="shared" ref="H48:H54" si="11">LOG10(D48*100*E48/G48*1000)</f>
        <v>5.2880094856714699</v>
      </c>
    </row>
    <row r="49" spans="1:8" x14ac:dyDescent="0.2">
      <c r="A49" s="3" t="s">
        <v>12</v>
      </c>
      <c r="B49">
        <v>1</v>
      </c>
      <c r="C49">
        <v>0</v>
      </c>
      <c r="D49">
        <f t="shared" si="10"/>
        <v>0.5</v>
      </c>
      <c r="E49" s="3">
        <v>1</v>
      </c>
      <c r="G49" s="3">
        <f>1906.6-1753.6</f>
        <v>153</v>
      </c>
      <c r="H49" s="8">
        <f t="shared" si="11"/>
        <v>2.5142785735184199</v>
      </c>
    </row>
    <row r="50" spans="1:8" ht="17" x14ac:dyDescent="0.2">
      <c r="A50" s="4" t="s">
        <v>13</v>
      </c>
      <c r="B50" s="6">
        <v>16</v>
      </c>
      <c r="C50" s="6">
        <v>13</v>
      </c>
      <c r="D50">
        <f t="shared" si="10"/>
        <v>14.5</v>
      </c>
      <c r="E50" s="4">
        <v>10</v>
      </c>
      <c r="F50" s="4"/>
      <c r="G50" s="4">
        <f>1888-1606.7</f>
        <v>281.29999999999995</v>
      </c>
      <c r="H50" s="8">
        <f t="shared" si="11"/>
        <v>4.7121982700697744</v>
      </c>
    </row>
    <row r="51" spans="1:8" x14ac:dyDescent="0.2">
      <c r="A51" s="3" t="s">
        <v>16</v>
      </c>
      <c r="D51" t="e">
        <f t="shared" si="10"/>
        <v>#DIV/0!</v>
      </c>
      <c r="E51" s="3"/>
      <c r="F51" s="3">
        <v>0</v>
      </c>
      <c r="G51" s="3">
        <f>1699.8-1680.2</f>
        <v>19.599999999999909</v>
      </c>
      <c r="H51" s="8" t="e">
        <f>LOG10(F51*10/G51*1000)</f>
        <v>#NUM!</v>
      </c>
    </row>
    <row r="52" spans="1:8" x14ac:dyDescent="0.2">
      <c r="A52" s="3" t="s">
        <v>14</v>
      </c>
      <c r="D52" t="e">
        <f t="shared" si="10"/>
        <v>#DIV/0!</v>
      </c>
      <c r="E52" s="3"/>
      <c r="F52" s="3">
        <v>0</v>
      </c>
      <c r="G52" s="3">
        <f>1893.4-1811.9</f>
        <v>81.5</v>
      </c>
      <c r="H52" s="8" t="e">
        <f t="shared" si="11"/>
        <v>#DIV/0!</v>
      </c>
    </row>
    <row r="53" spans="1:8" x14ac:dyDescent="0.2">
      <c r="A53" s="3" t="s">
        <v>15</v>
      </c>
      <c r="D53" t="e">
        <f t="shared" si="10"/>
        <v>#DIV/0!</v>
      </c>
      <c r="E53" s="3"/>
      <c r="F53" s="3">
        <v>0</v>
      </c>
      <c r="G53" s="3">
        <f>3001.1-1689.5</f>
        <v>1311.6</v>
      </c>
      <c r="H53" s="8" t="e">
        <f t="shared" si="11"/>
        <v>#DIV/0!</v>
      </c>
    </row>
    <row r="54" spans="1:8" x14ac:dyDescent="0.2">
      <c r="A54" s="3" t="s">
        <v>19</v>
      </c>
      <c r="D54" t="e">
        <f t="shared" si="10"/>
        <v>#DIV/0!</v>
      </c>
      <c r="E54" s="3"/>
      <c r="F54" s="3">
        <v>0</v>
      </c>
      <c r="G54" s="3">
        <f>1829.1-1690.3</f>
        <v>138.79999999999995</v>
      </c>
      <c r="H54" s="8" t="e">
        <f t="shared" si="11"/>
        <v>#DIV/0!</v>
      </c>
    </row>
  </sheetData>
  <mergeCells count="5">
    <mergeCell ref="B1:C1"/>
    <mergeCell ref="B12:C12"/>
    <mergeCell ref="B23:C23"/>
    <mergeCell ref="B34:C34"/>
    <mergeCell ref="B45:C4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dose</vt:lpstr>
      <vt:lpstr>day 3 organs </vt:lpstr>
      <vt:lpstr>day 7 organs</vt:lpstr>
      <vt:lpstr>day 14 organs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2024-07-29T22:38:12Z</dcterms:modified>
</cp:coreProperties>
</file>