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4/Mouse GI carriage/"/>
    </mc:Choice>
  </mc:AlternateContent>
  <xr:revisionPtr revIDLastSave="0" documentId="13_ncr:1_{B3FF30D6-7E33-B54B-826C-2F2F9FDD9D8E}" xr6:coauthVersionLast="47" xr6:coauthVersionMax="47" xr10:uidLastSave="{00000000-0000-0000-0000-000000000000}"/>
  <bookViews>
    <workbookView xWindow="0" yWindow="500" windowWidth="28800" windowHeight="17500" activeTab="2" xr2:uid="{05D28018-5EC7-B748-ACA7-09DD0AD3B70C}"/>
  </bookViews>
  <sheets>
    <sheet name="dose" sheetId="4" r:id="rId1"/>
    <sheet name="1h" sheetId="8" r:id="rId2"/>
    <sheet name="6h" sheetId="1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9" i="11" l="1"/>
  <c r="F38" i="11"/>
  <c r="G38" i="11" s="1"/>
  <c r="F37" i="11"/>
  <c r="F36" i="11"/>
  <c r="F35" i="11"/>
  <c r="F34" i="11"/>
  <c r="G39" i="11"/>
  <c r="G37" i="11"/>
  <c r="G36" i="11"/>
  <c r="G35" i="11"/>
  <c r="G34" i="11"/>
  <c r="G31" i="11"/>
  <c r="G30" i="11"/>
  <c r="G29" i="11"/>
  <c r="G28" i="11"/>
  <c r="G27" i="11"/>
  <c r="G26" i="11"/>
  <c r="G23" i="11"/>
  <c r="G22" i="11"/>
  <c r="G21" i="11"/>
  <c r="G20" i="11"/>
  <c r="G19" i="11"/>
  <c r="G18" i="11"/>
  <c r="G15" i="11"/>
  <c r="G14" i="11"/>
  <c r="G13" i="11"/>
  <c r="G12" i="11"/>
  <c r="G11" i="11"/>
  <c r="G10" i="11"/>
  <c r="F31" i="11"/>
  <c r="F30" i="11"/>
  <c r="F29" i="11"/>
  <c r="F28" i="11"/>
  <c r="F27" i="11"/>
  <c r="F26" i="11"/>
  <c r="F23" i="11"/>
  <c r="F22" i="11"/>
  <c r="F21" i="11"/>
  <c r="F20" i="11"/>
  <c r="F19" i="11"/>
  <c r="F18" i="11"/>
  <c r="F15" i="11"/>
  <c r="F14" i="11"/>
  <c r="F13" i="11"/>
  <c r="F12" i="11"/>
  <c r="F11" i="11"/>
  <c r="F10" i="11"/>
  <c r="F7" i="11"/>
  <c r="F6" i="11"/>
  <c r="F5" i="11"/>
  <c r="G5" i="11" s="1"/>
  <c r="F4" i="11"/>
  <c r="G4" i="11" s="1"/>
  <c r="F3" i="11"/>
  <c r="F2" i="11"/>
  <c r="F39" i="8"/>
  <c r="F38" i="8"/>
  <c r="F37" i="8"/>
  <c r="F36" i="8"/>
  <c r="F35" i="8"/>
  <c r="F34" i="8"/>
  <c r="G34" i="8" s="1"/>
  <c r="F31" i="8"/>
  <c r="G31" i="8" s="1"/>
  <c r="F30" i="8"/>
  <c r="G30" i="8" s="1"/>
  <c r="F29" i="8"/>
  <c r="G29" i="8" s="1"/>
  <c r="F28" i="8"/>
  <c r="F27" i="8"/>
  <c r="G27" i="8" s="1"/>
  <c r="F26" i="8"/>
  <c r="F23" i="8"/>
  <c r="F22" i="8"/>
  <c r="G22" i="8" s="1"/>
  <c r="F21" i="8"/>
  <c r="F20" i="8"/>
  <c r="F19" i="8"/>
  <c r="F18" i="8"/>
  <c r="G18" i="8" s="1"/>
  <c r="F15" i="8"/>
  <c r="G15" i="8" s="1"/>
  <c r="F14" i="8"/>
  <c r="G14" i="8" s="1"/>
  <c r="F13" i="8"/>
  <c r="F12" i="8"/>
  <c r="G12" i="8" s="1"/>
  <c r="F11" i="8"/>
  <c r="G11" i="8" s="1"/>
  <c r="F10" i="8"/>
  <c r="F7" i="8"/>
  <c r="F6" i="8"/>
  <c r="F5" i="8"/>
  <c r="F4" i="8"/>
  <c r="F3" i="8"/>
  <c r="F2" i="8"/>
  <c r="D39" i="11"/>
  <c r="D38" i="11"/>
  <c r="D37" i="11"/>
  <c r="D36" i="11"/>
  <c r="D35" i="11"/>
  <c r="D34" i="11"/>
  <c r="D31" i="11"/>
  <c r="D30" i="11"/>
  <c r="D29" i="11"/>
  <c r="D28" i="11"/>
  <c r="D27" i="11"/>
  <c r="D26" i="11"/>
  <c r="D23" i="11"/>
  <c r="D22" i="11"/>
  <c r="D21" i="11"/>
  <c r="D20" i="11"/>
  <c r="D19" i="11"/>
  <c r="D18" i="11"/>
  <c r="D15" i="11"/>
  <c r="D14" i="11"/>
  <c r="D13" i="11"/>
  <c r="D12" i="11"/>
  <c r="D11" i="11"/>
  <c r="D10" i="11"/>
  <c r="D7" i="11"/>
  <c r="G7" i="11" s="1"/>
  <c r="D6" i="11"/>
  <c r="D5" i="11"/>
  <c r="D4" i="11"/>
  <c r="D3" i="11"/>
  <c r="G3" i="11" s="1"/>
  <c r="D2" i="11"/>
  <c r="D39" i="8"/>
  <c r="D38" i="8"/>
  <c r="D37" i="8"/>
  <c r="D36" i="8"/>
  <c r="G36" i="8" s="1"/>
  <c r="D35" i="8"/>
  <c r="D34" i="8"/>
  <c r="D31" i="8"/>
  <c r="D30" i="8"/>
  <c r="D29" i="8"/>
  <c r="D28" i="8"/>
  <c r="D27" i="8"/>
  <c r="D26" i="8"/>
  <c r="D23" i="8"/>
  <c r="D22" i="8"/>
  <c r="D21" i="8"/>
  <c r="G21" i="8" s="1"/>
  <c r="D20" i="8"/>
  <c r="G20" i="8" s="1"/>
  <c r="D19" i="8"/>
  <c r="D18" i="8"/>
  <c r="D15" i="8"/>
  <c r="D14" i="8"/>
  <c r="D13" i="8"/>
  <c r="G13" i="8" s="1"/>
  <c r="D12" i="8"/>
  <c r="D11" i="8"/>
  <c r="D10" i="8"/>
  <c r="G2" i="11"/>
  <c r="G6" i="11"/>
  <c r="G39" i="8"/>
  <c r="G38" i="8"/>
  <c r="G37" i="8"/>
  <c r="G35" i="8"/>
  <c r="G28" i="8"/>
  <c r="G26" i="8"/>
  <c r="G23" i="8"/>
  <c r="G19" i="8"/>
  <c r="G10" i="8"/>
  <c r="E3" i="4" l="1"/>
  <c r="F2" i="4" s="1"/>
  <c r="G2" i="4" s="1"/>
  <c r="E2" i="4"/>
  <c r="D7" i="8"/>
  <c r="G7" i="8" s="1"/>
  <c r="D6" i="8"/>
  <c r="G6" i="8" s="1"/>
  <c r="D5" i="8"/>
  <c r="G5" i="8" s="1"/>
  <c r="D4" i="8"/>
  <c r="G4" i="8" s="1"/>
  <c r="D3" i="8"/>
  <c r="G3" i="8" s="1"/>
  <c r="D2" i="8"/>
  <c r="G2" i="8" s="1"/>
</calcChain>
</file>

<file path=xl/sharedStrings.xml><?xml version="1.0" encoding="utf-8"?>
<sst xmlns="http://schemas.openxmlformats.org/spreadsheetml/2006/main" count="127" uniqueCount="28">
  <si>
    <t>mean in 10 µL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</si>
  <si>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</si>
  <si>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</si>
  <si>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</si>
  <si>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</si>
  <si>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</si>
  <si>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</si>
  <si>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</si>
  <si>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stomach</t>
  </si>
  <si>
    <t>small intestine</t>
  </si>
  <si>
    <t>caecum</t>
  </si>
  <si>
    <t>colon</t>
  </si>
  <si>
    <t>organ weights (mg)</t>
  </si>
  <si>
    <t>Log10 CFU/g of organ</t>
  </si>
  <si>
    <t>number of CFU in 10µL (not diluted)</t>
  </si>
  <si>
    <t>BL012  (VBM plates)</t>
  </si>
  <si>
    <t>feces in colon</t>
  </si>
  <si>
    <t>expulsed feces</t>
  </si>
  <si>
    <t xml:space="preserve">BL012 1h mouse 1 </t>
  </si>
  <si>
    <t>BL012 1h mouse 2</t>
  </si>
  <si>
    <t xml:space="preserve">BL012 1h mouse 3 </t>
  </si>
  <si>
    <t xml:space="preserve">BL012 1h mouse 4 </t>
  </si>
  <si>
    <t>BL012 1h mouse 5</t>
  </si>
  <si>
    <t xml:space="preserve">BL012 6h mouse 1 </t>
  </si>
  <si>
    <t>BL012 6h mouse 2</t>
  </si>
  <si>
    <t xml:space="preserve">BL012 6h mouse 3 </t>
  </si>
  <si>
    <t xml:space="preserve">BL012 6h mouse 4 </t>
  </si>
  <si>
    <t>BL012 6h mouse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</si>
</sst>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B1:I15"/>
  <sheetViews>
    <sheetView workbookViewId="0">
      <selection activeCell="I4" sqref="I4"/>
    </sheetView>
  </sheetViews>
  <sheetFormatPr baseColWidth="10" defaultRowHeight="16" x14ac:dyDescent="0.2"/>
  <cols>
    <col min="2" max="2" width="14.83203125" customWidth="1"/>
  </cols>
  <sheetData>
    <row r="1" spans="2:9" x14ac:dyDescent="0.2">
      <c r="B1" s="1"/>
      <c r="C1" s="5" t="s">
        <v>2</v>
      </c>
      <c r="D1" s="5" t="s">
        <v>3</v>
      </c>
      <c r="E1" s="5" t="s">
        <v>6</v>
      </c>
      <c r="F1" s="5" t="s">
        <v>4</v>
      </c>
      <c r="G1" s="5" t="s">
        <v>5</v>
      </c>
      <c r="I1" s="5" t="s">
        <v>7</v>
      </c>
    </row>
    <row r="2" spans="2:9" x14ac:dyDescent="0.2">
      <c r="B2" s="19" t="s">
        <v>15</v>
      </c>
      <c r="C2" s="9">
        <v>69</v>
      </c>
      <c r="D2" s="10">
        <v>1000</v>
      </c>
      <c r="E2" s="10">
        <f>C2*5*D2</f>
        <v>345000</v>
      </c>
      <c r="F2" s="21">
        <f>AVERAGE(E2:E3)</f>
        <v>392500</v>
      </c>
      <c r="G2" s="23">
        <f>LOG10(F2)</f>
        <v>5.5938396610812715</v>
      </c>
      <c r="I2" s="18">
        <v>0.312</v>
      </c>
    </row>
    <row r="3" spans="2:9" x14ac:dyDescent="0.2">
      <c r="B3" s="20"/>
      <c r="C3" s="11">
        <v>88</v>
      </c>
      <c r="D3" s="12">
        <v>1000</v>
      </c>
      <c r="E3" s="12">
        <f>C3*5*D3</f>
        <v>440000</v>
      </c>
      <c r="F3" s="22"/>
      <c r="G3" s="24"/>
      <c r="I3" s="18"/>
    </row>
    <row r="4" spans="2:9" x14ac:dyDescent="0.2">
      <c r="B4" s="6"/>
      <c r="D4" s="13"/>
      <c r="E4" s="13"/>
      <c r="F4" s="14"/>
      <c r="G4" s="15"/>
      <c r="I4" s="16"/>
    </row>
    <row r="5" spans="2:9" x14ac:dyDescent="0.2">
      <c r="B5" s="6"/>
      <c r="D5" s="13"/>
      <c r="E5" s="13"/>
      <c r="F5" s="14"/>
      <c r="G5" s="15"/>
      <c r="I5" s="16"/>
    </row>
    <row r="6" spans="2:9" x14ac:dyDescent="0.2">
      <c r="B6" s="6"/>
      <c r="D6" s="13"/>
      <c r="E6" s="13"/>
      <c r="F6" s="14"/>
      <c r="G6" s="15"/>
      <c r="I6" s="16"/>
    </row>
    <row r="7" spans="2:9" x14ac:dyDescent="0.2">
      <c r="B7" s="6"/>
      <c r="D7" s="13"/>
      <c r="E7" s="13"/>
      <c r="F7" s="14"/>
      <c r="G7" s="15"/>
      <c r="I7" s="16"/>
    </row>
    <row r="8" spans="2:9" x14ac:dyDescent="0.2">
      <c r="B8" s="6"/>
      <c r="D8" s="13"/>
      <c r="E8" s="13"/>
      <c r="F8" s="14"/>
      <c r="G8" s="15"/>
      <c r="I8" s="16"/>
    </row>
    <row r="9" spans="2:9" x14ac:dyDescent="0.2">
      <c r="B9" s="6"/>
      <c r="D9" s="13"/>
      <c r="E9" s="13"/>
      <c r="F9" s="14"/>
      <c r="G9" s="15"/>
      <c r="I9" s="16"/>
    </row>
    <row r="10" spans="2:9" x14ac:dyDescent="0.2">
      <c r="B10" s="4"/>
      <c r="D10" s="13"/>
      <c r="E10" s="13"/>
      <c r="F10" s="13"/>
      <c r="G10" s="17"/>
      <c r="I10" s="1"/>
    </row>
    <row r="11" spans="2:9" x14ac:dyDescent="0.2">
      <c r="B11" s="4"/>
      <c r="D11" s="13"/>
      <c r="E11" s="13"/>
      <c r="F11" s="13"/>
      <c r="G11" s="17"/>
      <c r="I11" s="1"/>
    </row>
    <row r="12" spans="2:9" x14ac:dyDescent="0.2">
      <c r="B12" s="4"/>
      <c r="D12" s="13"/>
      <c r="E12" s="13"/>
      <c r="F12" s="13"/>
      <c r="G12" s="17"/>
      <c r="I12" s="1"/>
    </row>
    <row r="13" spans="2:9" x14ac:dyDescent="0.2">
      <c r="B13" s="4"/>
      <c r="D13" s="13"/>
      <c r="E13" s="13"/>
      <c r="F13" s="13"/>
      <c r="G13" s="17"/>
      <c r="I13" s="1"/>
    </row>
    <row r="14" spans="2:9" x14ac:dyDescent="0.2">
      <c r="B14" s="6"/>
      <c r="D14" s="13"/>
      <c r="E14" s="13"/>
      <c r="F14" s="14"/>
      <c r="G14" s="16"/>
    </row>
    <row r="15" spans="2:9" x14ac:dyDescent="0.2">
      <c r="B15" s="6"/>
      <c r="D15" s="13"/>
      <c r="E15" s="13"/>
      <c r="F15" s="14"/>
      <c r="G15" s="16"/>
    </row>
  </sheetData>
  <mergeCells count="4">
    <mergeCell ref="I2:I3"/>
    <mergeCell ref="B2:B3"/>
    <mergeCell ref="F2:F3"/>
    <mergeCell ref="G2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G51"/>
  <sheetViews>
    <sheetView topLeftCell="A10" zoomScale="81" workbookViewId="0">
      <selection activeCell="F40" sqref="F40"/>
    </sheetView>
  </sheetViews>
  <sheetFormatPr baseColWidth="10" defaultRowHeight="16" x14ac:dyDescent="0.2"/>
  <cols>
    <col min="1" max="1" width="19" customWidth="1"/>
  </cols>
  <sheetData>
    <row r="1" spans="1:7" ht="51" x14ac:dyDescent="0.2">
      <c r="A1" s="2" t="s">
        <v>18</v>
      </c>
      <c r="B1" s="25" t="s">
        <v>14</v>
      </c>
      <c r="C1" s="25"/>
      <c r="D1" s="4" t="s">
        <v>0</v>
      </c>
      <c r="E1" s="4" t="s">
        <v>1</v>
      </c>
      <c r="F1" s="4" t="s">
        <v>12</v>
      </c>
      <c r="G1" s="7" t="s">
        <v>13</v>
      </c>
    </row>
    <row r="2" spans="1:7" x14ac:dyDescent="0.2">
      <c r="A2" s="3" t="s">
        <v>8</v>
      </c>
      <c r="B2">
        <v>0</v>
      </c>
      <c r="C2">
        <v>0</v>
      </c>
      <c r="D2">
        <f>AVERAGE(B2:C2)</f>
        <v>0</v>
      </c>
      <c r="E2" s="3">
        <v>1</v>
      </c>
      <c r="F2" s="3">
        <f>2158.5-1788.9</f>
        <v>369.59999999999991</v>
      </c>
      <c r="G2" s="8" t="e">
        <f>LOG10(100*D2*E2/F2*1000)</f>
        <v>#NUM!</v>
      </c>
    </row>
    <row r="3" spans="1:7" x14ac:dyDescent="0.2">
      <c r="A3" s="3" t="s">
        <v>9</v>
      </c>
      <c r="B3">
        <v>0</v>
      </c>
      <c r="C3">
        <v>0</v>
      </c>
      <c r="D3">
        <f t="shared" ref="D3:D7" si="0">AVERAGE(B3:C3)</f>
        <v>0</v>
      </c>
      <c r="E3" s="3">
        <v>1</v>
      </c>
      <c r="F3" s="3">
        <f>3099.6-1807.2</f>
        <v>1292.3999999999999</v>
      </c>
      <c r="G3" s="8" t="e">
        <f t="shared" ref="G3:G7" si="1">LOG10(100*D3*E3/F3*1000)</f>
        <v>#NUM!</v>
      </c>
    </row>
    <row r="4" spans="1:7" x14ac:dyDescent="0.2">
      <c r="A4" s="3" t="s">
        <v>10</v>
      </c>
      <c r="B4">
        <v>0</v>
      </c>
      <c r="C4">
        <v>0</v>
      </c>
      <c r="D4">
        <f t="shared" si="0"/>
        <v>0</v>
      </c>
      <c r="E4" s="3">
        <v>1</v>
      </c>
      <c r="F4" s="3">
        <f>2663.6-1872.4</f>
        <v>791.19999999999982</v>
      </c>
      <c r="G4" s="8" t="e">
        <f t="shared" si="1"/>
        <v>#NUM!</v>
      </c>
    </row>
    <row r="5" spans="1:7" x14ac:dyDescent="0.2">
      <c r="A5" s="3" t="s">
        <v>11</v>
      </c>
      <c r="B5">
        <v>0</v>
      </c>
      <c r="C5">
        <v>0</v>
      </c>
      <c r="D5">
        <f t="shared" si="0"/>
        <v>0</v>
      </c>
      <c r="E5" s="3">
        <v>1</v>
      </c>
      <c r="F5" s="3">
        <f>2033.7-1908.9</f>
        <v>124.79999999999995</v>
      </c>
      <c r="G5" s="8" t="e">
        <f t="shared" si="1"/>
        <v>#NUM!</v>
      </c>
    </row>
    <row r="6" spans="1:7" ht="17" x14ac:dyDescent="0.2">
      <c r="A6" s="4" t="s">
        <v>16</v>
      </c>
      <c r="B6" s="6">
        <v>0</v>
      </c>
      <c r="C6" s="6">
        <v>0</v>
      </c>
      <c r="D6">
        <f t="shared" si="0"/>
        <v>0</v>
      </c>
      <c r="E6" s="4">
        <v>1</v>
      </c>
      <c r="F6" s="4">
        <f>1929.6-1796.4</f>
        <v>133.19999999999982</v>
      </c>
      <c r="G6" s="8" t="e">
        <f t="shared" si="1"/>
        <v>#NUM!</v>
      </c>
    </row>
    <row r="7" spans="1:7" ht="17" x14ac:dyDescent="0.2">
      <c r="A7" s="4" t="s">
        <v>17</v>
      </c>
      <c r="B7">
        <v>0</v>
      </c>
      <c r="C7">
        <v>0</v>
      </c>
      <c r="D7">
        <f t="shared" si="0"/>
        <v>0</v>
      </c>
      <c r="E7" s="3">
        <v>1</v>
      </c>
      <c r="F7" s="3">
        <f>1800.3-1751.6</f>
        <v>48.700000000000045</v>
      </c>
      <c r="G7" s="8" t="e">
        <f t="shared" si="1"/>
        <v>#NUM!</v>
      </c>
    </row>
    <row r="8" spans="1:7" x14ac:dyDescent="0.2">
      <c r="E8" s="3"/>
      <c r="F8" s="3"/>
      <c r="G8" s="8"/>
    </row>
    <row r="9" spans="1:7" ht="51" x14ac:dyDescent="0.2">
      <c r="A9" s="2" t="s">
        <v>19</v>
      </c>
      <c r="B9" s="25" t="s">
        <v>14</v>
      </c>
      <c r="C9" s="25"/>
      <c r="D9" s="4" t="s">
        <v>0</v>
      </c>
      <c r="E9" s="4" t="s">
        <v>1</v>
      </c>
      <c r="F9" s="4" t="s">
        <v>12</v>
      </c>
      <c r="G9" s="7" t="s">
        <v>13</v>
      </c>
    </row>
    <row r="10" spans="1:7" x14ac:dyDescent="0.2">
      <c r="A10" s="3" t="s">
        <v>8</v>
      </c>
      <c r="B10">
        <v>0</v>
      </c>
      <c r="C10">
        <v>0</v>
      </c>
      <c r="D10">
        <f>AVERAGE(B10:C10)</f>
        <v>0</v>
      </c>
      <c r="E10" s="3">
        <v>1</v>
      </c>
      <c r="F10" s="3">
        <f>2260.1-1888.9</f>
        <v>371.19999999999982</v>
      </c>
      <c r="G10" s="8" t="e">
        <f>LOG10(100*D10*E10/F10*1000)</f>
        <v>#NUM!</v>
      </c>
    </row>
    <row r="11" spans="1:7" x14ac:dyDescent="0.2">
      <c r="A11" s="3" t="s">
        <v>9</v>
      </c>
      <c r="B11">
        <v>0</v>
      </c>
      <c r="C11">
        <v>0</v>
      </c>
      <c r="D11">
        <f t="shared" ref="D11:D15" si="2">AVERAGE(B11:C11)</f>
        <v>0</v>
      </c>
      <c r="E11" s="3">
        <v>1</v>
      </c>
      <c r="F11" s="3">
        <f>3010.4-1848.3</f>
        <v>1162.1000000000001</v>
      </c>
      <c r="G11" s="8" t="e">
        <f t="shared" ref="G11:G15" si="3">LOG10(100*D11*E11/F11*1000)</f>
        <v>#NUM!</v>
      </c>
    </row>
    <row r="12" spans="1:7" x14ac:dyDescent="0.2">
      <c r="A12" s="3" t="s">
        <v>10</v>
      </c>
      <c r="B12">
        <v>0</v>
      </c>
      <c r="C12">
        <v>0</v>
      </c>
      <c r="D12">
        <f t="shared" si="2"/>
        <v>0</v>
      </c>
      <c r="E12" s="3">
        <v>1</v>
      </c>
      <c r="F12" s="3">
        <f>2719.2-1801.5</f>
        <v>917.69999999999982</v>
      </c>
      <c r="G12" s="8" t="e">
        <f t="shared" si="3"/>
        <v>#NUM!</v>
      </c>
    </row>
    <row r="13" spans="1:7" x14ac:dyDescent="0.2">
      <c r="A13" s="3" t="s">
        <v>11</v>
      </c>
      <c r="B13">
        <v>0</v>
      </c>
      <c r="C13">
        <v>0</v>
      </c>
      <c r="D13">
        <f t="shared" si="2"/>
        <v>0</v>
      </c>
      <c r="E13" s="3">
        <v>1</v>
      </c>
      <c r="F13" s="3">
        <f>1935.1-1808.3</f>
        <v>126.79999999999995</v>
      </c>
      <c r="G13" s="8" t="e">
        <f t="shared" si="3"/>
        <v>#NUM!</v>
      </c>
    </row>
    <row r="14" spans="1:7" ht="17" x14ac:dyDescent="0.2">
      <c r="A14" s="4" t="s">
        <v>16</v>
      </c>
      <c r="B14" s="6">
        <v>0</v>
      </c>
      <c r="C14" s="6">
        <v>0</v>
      </c>
      <c r="D14">
        <f t="shared" si="2"/>
        <v>0</v>
      </c>
      <c r="E14" s="4">
        <v>1</v>
      </c>
      <c r="F14" s="4">
        <f>1930.1-1878.9</f>
        <v>51.199999999999818</v>
      </c>
      <c r="G14" s="8" t="e">
        <f t="shared" si="3"/>
        <v>#NUM!</v>
      </c>
    </row>
    <row r="15" spans="1:7" ht="17" x14ac:dyDescent="0.2">
      <c r="A15" s="4" t="s">
        <v>17</v>
      </c>
      <c r="B15">
        <v>0</v>
      </c>
      <c r="C15">
        <v>0</v>
      </c>
      <c r="D15">
        <f t="shared" si="2"/>
        <v>0</v>
      </c>
      <c r="E15" s="3">
        <v>1</v>
      </c>
      <c r="F15" s="3">
        <f>1787-1756.8</f>
        <v>30.200000000000045</v>
      </c>
      <c r="G15" s="8" t="e">
        <f t="shared" si="3"/>
        <v>#NUM!</v>
      </c>
    </row>
    <row r="16" spans="1:7" x14ac:dyDescent="0.2">
      <c r="A16" s="3"/>
      <c r="E16" s="3"/>
      <c r="F16" s="3"/>
      <c r="G16" s="8"/>
    </row>
    <row r="17" spans="1:7" ht="51" x14ac:dyDescent="0.2">
      <c r="A17" s="2" t="s">
        <v>20</v>
      </c>
      <c r="B17" s="25" t="s">
        <v>14</v>
      </c>
      <c r="C17" s="25"/>
      <c r="D17" s="4" t="s">
        <v>0</v>
      </c>
      <c r="E17" s="4" t="s">
        <v>1</v>
      </c>
      <c r="F17" s="4" t="s">
        <v>12</v>
      </c>
      <c r="G17" s="7" t="s">
        <v>13</v>
      </c>
    </row>
    <row r="18" spans="1:7" x14ac:dyDescent="0.2">
      <c r="A18" s="3" t="s">
        <v>8</v>
      </c>
      <c r="B18">
        <v>0</v>
      </c>
      <c r="C18">
        <v>0</v>
      </c>
      <c r="D18">
        <f>AVERAGE(B18:C18)</f>
        <v>0</v>
      </c>
      <c r="E18" s="3">
        <v>1</v>
      </c>
      <c r="F18" s="3">
        <f>2208.4-1854.8</f>
        <v>353.60000000000014</v>
      </c>
      <c r="G18" s="8" t="e">
        <f>LOG10(100*D18*E18/F18*1000)</f>
        <v>#NUM!</v>
      </c>
    </row>
    <row r="19" spans="1:7" x14ac:dyDescent="0.2">
      <c r="A19" s="3" t="s">
        <v>9</v>
      </c>
      <c r="B19">
        <v>0</v>
      </c>
      <c r="C19">
        <v>0</v>
      </c>
      <c r="D19">
        <f t="shared" ref="D19:D23" si="4">AVERAGE(B19:C19)</f>
        <v>0</v>
      </c>
      <c r="E19" s="3">
        <v>1</v>
      </c>
      <c r="F19" s="3">
        <f>2978.5-1852.4</f>
        <v>1126.0999999999999</v>
      </c>
      <c r="G19" s="8" t="e">
        <f t="shared" ref="G19:G23" si="5">LOG10(100*D19*E19/F19*1000)</f>
        <v>#NUM!</v>
      </c>
    </row>
    <row r="20" spans="1:7" x14ac:dyDescent="0.2">
      <c r="A20" s="3" t="s">
        <v>10</v>
      </c>
      <c r="B20">
        <v>0</v>
      </c>
      <c r="C20">
        <v>0</v>
      </c>
      <c r="D20">
        <f t="shared" si="4"/>
        <v>0</v>
      </c>
      <c r="E20" s="3">
        <v>1</v>
      </c>
      <c r="F20" s="3">
        <f>2970.2-1766.4</f>
        <v>1203.7999999999997</v>
      </c>
      <c r="G20" s="8" t="e">
        <f t="shared" si="5"/>
        <v>#NUM!</v>
      </c>
    </row>
    <row r="21" spans="1:7" x14ac:dyDescent="0.2">
      <c r="A21" s="3" t="s">
        <v>11</v>
      </c>
      <c r="B21">
        <v>0</v>
      </c>
      <c r="C21">
        <v>0</v>
      </c>
      <c r="D21">
        <f t="shared" si="4"/>
        <v>0</v>
      </c>
      <c r="E21" s="3">
        <v>1</v>
      </c>
      <c r="F21" s="3">
        <f>1878.1-1759.8</f>
        <v>118.29999999999995</v>
      </c>
      <c r="G21" s="8" t="e">
        <f t="shared" si="5"/>
        <v>#NUM!</v>
      </c>
    </row>
    <row r="22" spans="1:7" ht="17" x14ac:dyDescent="0.2">
      <c r="A22" s="4" t="s">
        <v>16</v>
      </c>
      <c r="B22" s="6">
        <v>0</v>
      </c>
      <c r="C22" s="6">
        <v>0</v>
      </c>
      <c r="D22">
        <f t="shared" si="4"/>
        <v>0</v>
      </c>
      <c r="E22" s="4">
        <v>1</v>
      </c>
      <c r="F22" s="4">
        <f>1943.9-1804.3</f>
        <v>139.60000000000014</v>
      </c>
      <c r="G22" s="8" t="e">
        <f t="shared" si="5"/>
        <v>#NUM!</v>
      </c>
    </row>
    <row r="23" spans="1:7" ht="17" x14ac:dyDescent="0.2">
      <c r="A23" s="4" t="s">
        <v>17</v>
      </c>
      <c r="B23">
        <v>0</v>
      </c>
      <c r="C23">
        <v>0</v>
      </c>
      <c r="D23">
        <f t="shared" si="4"/>
        <v>0</v>
      </c>
      <c r="E23" s="3">
        <v>1</v>
      </c>
      <c r="F23" s="3">
        <f>2041.3-1963.3</f>
        <v>78</v>
      </c>
      <c r="G23" s="8" t="e">
        <f t="shared" si="5"/>
        <v>#NUM!</v>
      </c>
    </row>
    <row r="24" spans="1:7" x14ac:dyDescent="0.2">
      <c r="A24" s="3"/>
      <c r="E24" s="3"/>
      <c r="F24" s="3"/>
      <c r="G24" s="8"/>
    </row>
    <row r="25" spans="1:7" ht="51" x14ac:dyDescent="0.2">
      <c r="A25" s="2" t="s">
        <v>21</v>
      </c>
      <c r="B25" s="25" t="s">
        <v>14</v>
      </c>
      <c r="C25" s="25"/>
      <c r="D25" s="4" t="s">
        <v>0</v>
      </c>
      <c r="E25" s="4" t="s">
        <v>1</v>
      </c>
      <c r="F25" s="4" t="s">
        <v>12</v>
      </c>
      <c r="G25" s="7" t="s">
        <v>13</v>
      </c>
    </row>
    <row r="26" spans="1:7" x14ac:dyDescent="0.2">
      <c r="A26" s="3" t="s">
        <v>8</v>
      </c>
      <c r="B26">
        <v>0</v>
      </c>
      <c r="C26">
        <v>0</v>
      </c>
      <c r="D26">
        <f>AVERAGE(B26:C26)</f>
        <v>0</v>
      </c>
      <c r="E26" s="3">
        <v>1</v>
      </c>
      <c r="F26" s="3">
        <f>2309.7-1873.2</f>
        <v>436.49999999999977</v>
      </c>
      <c r="G26" s="8" t="e">
        <f>LOG10(100*D26*E26/F26*1000)</f>
        <v>#NUM!</v>
      </c>
    </row>
    <row r="27" spans="1:7" x14ac:dyDescent="0.2">
      <c r="A27" s="3" t="s">
        <v>9</v>
      </c>
      <c r="B27">
        <v>0</v>
      </c>
      <c r="C27">
        <v>0</v>
      </c>
      <c r="D27">
        <f t="shared" ref="D27:D31" si="6">AVERAGE(B27:C27)</f>
        <v>0</v>
      </c>
      <c r="E27" s="3">
        <v>1</v>
      </c>
      <c r="F27" s="3">
        <f>3138.9-1799</f>
        <v>1339.9</v>
      </c>
      <c r="G27" s="8" t="e">
        <f t="shared" ref="G27:G31" si="7">LOG10(100*D27*E27/F27*1000)</f>
        <v>#NUM!</v>
      </c>
    </row>
    <row r="28" spans="1:7" x14ac:dyDescent="0.2">
      <c r="A28" s="3" t="s">
        <v>10</v>
      </c>
      <c r="B28">
        <v>0</v>
      </c>
      <c r="C28">
        <v>0</v>
      </c>
      <c r="D28">
        <f t="shared" si="6"/>
        <v>0</v>
      </c>
      <c r="E28" s="3">
        <v>1</v>
      </c>
      <c r="F28" s="3">
        <f>3104.2-1906.6</f>
        <v>1197.5999999999999</v>
      </c>
      <c r="G28" s="8" t="e">
        <f t="shared" si="7"/>
        <v>#NUM!</v>
      </c>
    </row>
    <row r="29" spans="1:7" x14ac:dyDescent="0.2">
      <c r="A29" s="3" t="s">
        <v>11</v>
      </c>
      <c r="B29">
        <v>0</v>
      </c>
      <c r="C29">
        <v>0</v>
      </c>
      <c r="D29">
        <f t="shared" si="6"/>
        <v>0</v>
      </c>
      <c r="E29" s="3">
        <v>1</v>
      </c>
      <c r="F29" s="3">
        <f>2113-1971.7</f>
        <v>141.29999999999995</v>
      </c>
      <c r="G29" s="8" t="e">
        <f t="shared" si="7"/>
        <v>#NUM!</v>
      </c>
    </row>
    <row r="30" spans="1:7" ht="17" x14ac:dyDescent="0.2">
      <c r="A30" s="4" t="s">
        <v>16</v>
      </c>
      <c r="B30" s="6">
        <v>0</v>
      </c>
      <c r="C30" s="6">
        <v>0</v>
      </c>
      <c r="D30">
        <f t="shared" si="6"/>
        <v>0</v>
      </c>
      <c r="E30" s="4">
        <v>1</v>
      </c>
      <c r="F30" s="4">
        <f>1932.8-1817</f>
        <v>115.79999999999995</v>
      </c>
      <c r="G30" s="8" t="e">
        <f t="shared" si="7"/>
        <v>#NUM!</v>
      </c>
    </row>
    <row r="31" spans="1:7" ht="17" x14ac:dyDescent="0.2">
      <c r="A31" s="4" t="s">
        <v>17</v>
      </c>
      <c r="B31">
        <v>0</v>
      </c>
      <c r="C31">
        <v>0</v>
      </c>
      <c r="D31">
        <f t="shared" si="6"/>
        <v>0</v>
      </c>
      <c r="E31" s="3">
        <v>1</v>
      </c>
      <c r="F31" s="3">
        <f>1953.8-1886.6</f>
        <v>67.200000000000045</v>
      </c>
      <c r="G31" s="8" t="e">
        <f t="shared" si="7"/>
        <v>#NUM!</v>
      </c>
    </row>
    <row r="32" spans="1:7" x14ac:dyDescent="0.2">
      <c r="A32" s="3"/>
      <c r="E32" s="3"/>
      <c r="F32" s="3"/>
      <c r="G32" s="8"/>
    </row>
    <row r="33" spans="1:7" ht="51" x14ac:dyDescent="0.2">
      <c r="A33" s="2" t="s">
        <v>22</v>
      </c>
      <c r="B33" s="25" t="s">
        <v>14</v>
      </c>
      <c r="C33" s="25"/>
      <c r="D33" s="4" t="s">
        <v>0</v>
      </c>
      <c r="E33" s="4" t="s">
        <v>1</v>
      </c>
      <c r="F33" s="4" t="s">
        <v>12</v>
      </c>
      <c r="G33" s="7" t="s">
        <v>13</v>
      </c>
    </row>
    <row r="34" spans="1:7" x14ac:dyDescent="0.2">
      <c r="A34" s="3" t="s">
        <v>8</v>
      </c>
      <c r="B34">
        <v>0</v>
      </c>
      <c r="C34">
        <v>0</v>
      </c>
      <c r="D34">
        <f>AVERAGE(B34:C34)</f>
        <v>0</v>
      </c>
      <c r="E34" s="3">
        <v>1</v>
      </c>
      <c r="F34" s="3">
        <f>2291.2-1950.7</f>
        <v>340.49999999999977</v>
      </c>
      <c r="G34" s="8" t="e">
        <f>LOG10(100*D34*E34/F34*1000)</f>
        <v>#NUM!</v>
      </c>
    </row>
    <row r="35" spans="1:7" x14ac:dyDescent="0.2">
      <c r="A35" s="3" t="s">
        <v>9</v>
      </c>
      <c r="B35">
        <v>0</v>
      </c>
      <c r="C35">
        <v>0</v>
      </c>
      <c r="D35">
        <f t="shared" ref="D35:D39" si="8">AVERAGE(B35:C35)</f>
        <v>0</v>
      </c>
      <c r="E35" s="3">
        <v>1</v>
      </c>
      <c r="F35" s="3">
        <f>2907.8-1741.6</f>
        <v>1166.2000000000003</v>
      </c>
      <c r="G35" s="8" t="e">
        <f t="shared" ref="G35:G39" si="9">LOG10(100*D35*E35/F35*1000)</f>
        <v>#NUM!</v>
      </c>
    </row>
    <row r="36" spans="1:7" x14ac:dyDescent="0.2">
      <c r="A36" s="3" t="s">
        <v>10</v>
      </c>
      <c r="B36">
        <v>0</v>
      </c>
      <c r="C36">
        <v>0</v>
      </c>
      <c r="D36">
        <f t="shared" si="8"/>
        <v>0</v>
      </c>
      <c r="E36" s="3">
        <v>1</v>
      </c>
      <c r="F36" s="3">
        <f>2640.5-1891.7</f>
        <v>748.8</v>
      </c>
      <c r="G36" s="8" t="e">
        <f t="shared" si="9"/>
        <v>#NUM!</v>
      </c>
    </row>
    <row r="37" spans="1:7" x14ac:dyDescent="0.2">
      <c r="A37" s="3" t="s">
        <v>11</v>
      </c>
      <c r="B37">
        <v>0</v>
      </c>
      <c r="C37">
        <v>0</v>
      </c>
      <c r="D37">
        <f t="shared" si="8"/>
        <v>0</v>
      </c>
      <c r="E37" s="3">
        <v>1</v>
      </c>
      <c r="F37" s="3">
        <f>1943.3-1814.5</f>
        <v>128.79999999999995</v>
      </c>
      <c r="G37" s="8" t="e">
        <f t="shared" si="9"/>
        <v>#NUM!</v>
      </c>
    </row>
    <row r="38" spans="1:7" ht="17" x14ac:dyDescent="0.2">
      <c r="A38" s="4" t="s">
        <v>16</v>
      </c>
      <c r="B38" s="6">
        <v>0</v>
      </c>
      <c r="C38" s="6">
        <v>0</v>
      </c>
      <c r="D38">
        <f t="shared" si="8"/>
        <v>0</v>
      </c>
      <c r="E38" s="4">
        <v>1</v>
      </c>
      <c r="F38" s="4">
        <f>1921.9-1821.1</f>
        <v>100.80000000000018</v>
      </c>
      <c r="G38" s="8" t="e">
        <f t="shared" si="9"/>
        <v>#NUM!</v>
      </c>
    </row>
    <row r="39" spans="1:7" ht="17" x14ac:dyDescent="0.2">
      <c r="A39" s="4" t="s">
        <v>17</v>
      </c>
      <c r="B39">
        <v>0</v>
      </c>
      <c r="C39">
        <v>0</v>
      </c>
      <c r="D39">
        <f t="shared" si="8"/>
        <v>0</v>
      </c>
      <c r="E39" s="3">
        <v>1</v>
      </c>
      <c r="F39" s="3">
        <f>1858.5-1833.2</f>
        <v>25.299999999999955</v>
      </c>
      <c r="G39" s="8" t="e">
        <f t="shared" si="9"/>
        <v>#NUM!</v>
      </c>
    </row>
    <row r="40" spans="1:7" x14ac:dyDescent="0.2">
      <c r="A40" s="3"/>
      <c r="E40" s="3"/>
      <c r="F40" s="3"/>
      <c r="G40" s="8"/>
    </row>
    <row r="42" spans="1:7" x14ac:dyDescent="0.2">
      <c r="A42" s="2"/>
      <c r="B42" s="25"/>
      <c r="C42" s="25"/>
      <c r="D42" s="4"/>
      <c r="E42" s="4"/>
      <c r="F42" s="4"/>
      <c r="G42" s="7"/>
    </row>
    <row r="43" spans="1:7" x14ac:dyDescent="0.2">
      <c r="A43" s="3"/>
      <c r="E43" s="3"/>
      <c r="F43" s="3"/>
      <c r="G43" s="8"/>
    </row>
    <row r="44" spans="1:7" x14ac:dyDescent="0.2">
      <c r="A44" s="3"/>
      <c r="E44" s="3"/>
      <c r="F44" s="3"/>
      <c r="G44" s="8"/>
    </row>
    <row r="45" spans="1:7" x14ac:dyDescent="0.2">
      <c r="A45" s="3"/>
      <c r="E45" s="3"/>
      <c r="F45" s="3"/>
      <c r="G45" s="8"/>
    </row>
    <row r="46" spans="1:7" x14ac:dyDescent="0.2">
      <c r="A46" s="3"/>
      <c r="E46" s="3"/>
      <c r="F46" s="3"/>
      <c r="G46" s="8"/>
    </row>
    <row r="47" spans="1:7" x14ac:dyDescent="0.2">
      <c r="A47" s="4"/>
      <c r="B47" s="6"/>
      <c r="C47" s="6"/>
      <c r="E47" s="4"/>
      <c r="F47" s="4"/>
      <c r="G47" s="8"/>
    </row>
    <row r="48" spans="1:7" x14ac:dyDescent="0.2">
      <c r="A48" s="3"/>
      <c r="E48" s="3"/>
      <c r="F48" s="3"/>
      <c r="G48" s="8"/>
    </row>
    <row r="49" spans="1:7" x14ac:dyDescent="0.2">
      <c r="A49" s="3"/>
      <c r="E49" s="3"/>
      <c r="F49" s="3"/>
      <c r="G49" s="8"/>
    </row>
    <row r="50" spans="1:7" x14ac:dyDescent="0.2">
      <c r="A50" s="3"/>
      <c r="E50" s="3"/>
      <c r="F50" s="3"/>
      <c r="G50" s="8"/>
    </row>
    <row r="51" spans="1:7" x14ac:dyDescent="0.2">
      <c r="A51" s="3"/>
      <c r="E51" s="3"/>
      <c r="F51" s="3"/>
      <c r="G51" s="8"/>
    </row>
  </sheetData>
  <mergeCells count="6">
    <mergeCell ref="B1:C1"/>
    <mergeCell ref="B9:C9"/>
    <mergeCell ref="B42:C42"/>
    <mergeCell ref="B17:C17"/>
    <mergeCell ref="B25:C25"/>
    <mergeCell ref="B33:C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22826-EAAC-8947-86C6-75BAFB00C30C}">
  <dimension ref="A1:G51"/>
  <sheetViews>
    <sheetView tabSelected="1" topLeftCell="A9" zoomScale="81" workbookViewId="0">
      <selection activeCell="F40" sqref="F40"/>
    </sheetView>
  </sheetViews>
  <sheetFormatPr baseColWidth="10" defaultRowHeight="16" x14ac:dyDescent="0.2"/>
  <cols>
    <col min="1" max="1" width="19" customWidth="1"/>
  </cols>
  <sheetData>
    <row r="1" spans="1:7" ht="51" x14ac:dyDescent="0.2">
      <c r="A1" s="2" t="s">
        <v>23</v>
      </c>
      <c r="B1" s="25" t="s">
        <v>14</v>
      </c>
      <c r="C1" s="25"/>
      <c r="D1" s="4" t="s">
        <v>0</v>
      </c>
      <c r="E1" s="4" t="s">
        <v>1</v>
      </c>
      <c r="F1" s="4" t="s">
        <v>12</v>
      </c>
      <c r="G1" s="7" t="s">
        <v>13</v>
      </c>
    </row>
    <row r="2" spans="1:7" x14ac:dyDescent="0.2">
      <c r="A2" s="3" t="s">
        <v>8</v>
      </c>
      <c r="B2">
        <v>0</v>
      </c>
      <c r="C2">
        <v>0</v>
      </c>
      <c r="D2">
        <f>AVERAGE(B2:C2)</f>
        <v>0</v>
      </c>
      <c r="E2" s="3">
        <v>1</v>
      </c>
      <c r="F2" s="3">
        <f>2208.6-1822.4</f>
        <v>386.19999999999982</v>
      </c>
      <c r="G2" s="8" t="e">
        <f>LOG10(100*D2*E2/F2*1000)</f>
        <v>#NUM!</v>
      </c>
    </row>
    <row r="3" spans="1:7" x14ac:dyDescent="0.2">
      <c r="A3" s="3" t="s">
        <v>9</v>
      </c>
      <c r="B3">
        <v>0</v>
      </c>
      <c r="C3">
        <v>0</v>
      </c>
      <c r="D3">
        <f t="shared" ref="D3:D7" si="0">AVERAGE(B3:C3)</f>
        <v>0</v>
      </c>
      <c r="E3" s="3">
        <v>1</v>
      </c>
      <c r="F3" s="3">
        <f>3369.6-1941.1</f>
        <v>1428.5</v>
      </c>
      <c r="G3" s="8" t="e">
        <f t="shared" ref="G3:G7" si="1">LOG10(100*D3*E3/F3*1000)</f>
        <v>#NUM!</v>
      </c>
    </row>
    <row r="4" spans="1:7" x14ac:dyDescent="0.2">
      <c r="A4" s="3" t="s">
        <v>10</v>
      </c>
      <c r="B4">
        <v>0</v>
      </c>
      <c r="C4">
        <v>0</v>
      </c>
      <c r="D4">
        <f t="shared" si="0"/>
        <v>0</v>
      </c>
      <c r="E4" s="3">
        <v>1</v>
      </c>
      <c r="F4" s="3">
        <f>2762.4-1831.7</f>
        <v>930.7</v>
      </c>
      <c r="G4" s="8" t="e">
        <f t="shared" si="1"/>
        <v>#NUM!</v>
      </c>
    </row>
    <row r="5" spans="1:7" x14ac:dyDescent="0.2">
      <c r="A5" s="3" t="s">
        <v>11</v>
      </c>
      <c r="B5">
        <v>0</v>
      </c>
      <c r="C5">
        <v>0</v>
      </c>
      <c r="D5">
        <f t="shared" si="0"/>
        <v>0</v>
      </c>
      <c r="E5" s="3">
        <v>1</v>
      </c>
      <c r="F5" s="3">
        <f>2081.6-1950.2</f>
        <v>131.39999999999986</v>
      </c>
      <c r="G5" s="8" t="e">
        <f t="shared" si="1"/>
        <v>#NUM!</v>
      </c>
    </row>
    <row r="6" spans="1:7" ht="17" x14ac:dyDescent="0.2">
      <c r="A6" s="4" t="s">
        <v>16</v>
      </c>
      <c r="B6" s="6">
        <v>0</v>
      </c>
      <c r="C6" s="6">
        <v>0</v>
      </c>
      <c r="D6">
        <f t="shared" si="0"/>
        <v>0</v>
      </c>
      <c r="E6" s="4">
        <v>1</v>
      </c>
      <c r="F6" s="4">
        <f>1986.8-1879.5</f>
        <v>107.29999999999995</v>
      </c>
      <c r="G6" s="8" t="e">
        <f t="shared" si="1"/>
        <v>#NUM!</v>
      </c>
    </row>
    <row r="7" spans="1:7" ht="17" x14ac:dyDescent="0.2">
      <c r="A7" s="4" t="s">
        <v>17</v>
      </c>
      <c r="B7">
        <v>0</v>
      </c>
      <c r="C7">
        <v>0</v>
      </c>
      <c r="D7">
        <f t="shared" si="0"/>
        <v>0</v>
      </c>
      <c r="E7" s="3">
        <v>1</v>
      </c>
      <c r="F7" s="3">
        <f>1983.7-1880.5</f>
        <v>103.20000000000005</v>
      </c>
      <c r="G7" s="8" t="e">
        <f t="shared" si="1"/>
        <v>#NUM!</v>
      </c>
    </row>
    <row r="8" spans="1:7" x14ac:dyDescent="0.2">
      <c r="E8" s="3"/>
      <c r="F8" s="3"/>
      <c r="G8" s="8"/>
    </row>
    <row r="9" spans="1:7" ht="51" x14ac:dyDescent="0.2">
      <c r="A9" s="2" t="s">
        <v>24</v>
      </c>
      <c r="B9" s="25" t="s">
        <v>14</v>
      </c>
      <c r="C9" s="25"/>
      <c r="D9" s="4" t="s">
        <v>0</v>
      </c>
      <c r="E9" s="4" t="s">
        <v>1</v>
      </c>
      <c r="F9" s="4" t="s">
        <v>12</v>
      </c>
      <c r="G9" s="7" t="s">
        <v>13</v>
      </c>
    </row>
    <row r="10" spans="1:7" x14ac:dyDescent="0.2">
      <c r="A10" s="3" t="s">
        <v>8</v>
      </c>
      <c r="B10">
        <v>0</v>
      </c>
      <c r="C10">
        <v>0</v>
      </c>
      <c r="D10">
        <f>AVERAGE(B10:C10)</f>
        <v>0</v>
      </c>
      <c r="E10" s="3">
        <v>1</v>
      </c>
      <c r="F10" s="3">
        <f>2159.2-1888.9</f>
        <v>270.29999999999973</v>
      </c>
      <c r="G10" s="8" t="e">
        <f>LOG10(100*D10*E10/F10*1000)</f>
        <v>#NUM!</v>
      </c>
    </row>
    <row r="11" spans="1:7" x14ac:dyDescent="0.2">
      <c r="A11" s="3" t="s">
        <v>9</v>
      </c>
      <c r="B11">
        <v>0</v>
      </c>
      <c r="C11">
        <v>0</v>
      </c>
      <c r="D11">
        <f t="shared" ref="D11:D15" si="2">AVERAGE(B11:C11)</f>
        <v>0</v>
      </c>
      <c r="E11" s="3">
        <v>1</v>
      </c>
      <c r="F11" s="3">
        <f>2945.5-2043.4</f>
        <v>902.09999999999991</v>
      </c>
      <c r="G11" s="8" t="e">
        <f t="shared" ref="G11:G15" si="3">LOG10(100*D11*E11/F11*1000)</f>
        <v>#NUM!</v>
      </c>
    </row>
    <row r="12" spans="1:7" x14ac:dyDescent="0.2">
      <c r="A12" s="3" t="s">
        <v>10</v>
      </c>
      <c r="B12">
        <v>0</v>
      </c>
      <c r="C12">
        <v>0</v>
      </c>
      <c r="D12">
        <f t="shared" si="2"/>
        <v>0</v>
      </c>
      <c r="E12" s="3">
        <v>1</v>
      </c>
      <c r="F12" s="3">
        <f>2395.3-2025.9</f>
        <v>369.40000000000009</v>
      </c>
      <c r="G12" s="8" t="e">
        <f t="shared" si="3"/>
        <v>#NUM!</v>
      </c>
    </row>
    <row r="13" spans="1:7" x14ac:dyDescent="0.2">
      <c r="A13" s="3" t="s">
        <v>11</v>
      </c>
      <c r="B13">
        <v>0</v>
      </c>
      <c r="C13">
        <v>0</v>
      </c>
      <c r="D13">
        <f t="shared" si="2"/>
        <v>0</v>
      </c>
      <c r="E13" s="3">
        <v>1</v>
      </c>
      <c r="F13" s="3">
        <f>1937.5-1810.5</f>
        <v>127</v>
      </c>
      <c r="G13" s="8" t="e">
        <f t="shared" si="3"/>
        <v>#NUM!</v>
      </c>
    </row>
    <row r="14" spans="1:7" ht="17" x14ac:dyDescent="0.2">
      <c r="A14" s="4" t="s">
        <v>16</v>
      </c>
      <c r="B14" s="6">
        <v>0</v>
      </c>
      <c r="C14" s="6">
        <v>0</v>
      </c>
      <c r="D14">
        <f t="shared" si="2"/>
        <v>0</v>
      </c>
      <c r="E14" s="4">
        <v>1</v>
      </c>
      <c r="F14" s="4">
        <f>1982-1896.4</f>
        <v>85.599999999999909</v>
      </c>
      <c r="G14" s="8" t="e">
        <f t="shared" si="3"/>
        <v>#NUM!</v>
      </c>
    </row>
    <row r="15" spans="1:7" ht="17" x14ac:dyDescent="0.2">
      <c r="A15" s="4" t="s">
        <v>17</v>
      </c>
      <c r="B15">
        <v>0</v>
      </c>
      <c r="C15">
        <v>0</v>
      </c>
      <c r="D15">
        <f t="shared" si="2"/>
        <v>0</v>
      </c>
      <c r="E15" s="3">
        <v>1</v>
      </c>
      <c r="F15" s="3">
        <f>1936.7-1801.4</f>
        <v>135.29999999999995</v>
      </c>
      <c r="G15" s="8" t="e">
        <f t="shared" si="3"/>
        <v>#NUM!</v>
      </c>
    </row>
    <row r="16" spans="1:7" x14ac:dyDescent="0.2">
      <c r="A16" s="3"/>
      <c r="E16" s="3"/>
      <c r="F16" s="3"/>
      <c r="G16" s="8"/>
    </row>
    <row r="17" spans="1:7" ht="51" x14ac:dyDescent="0.2">
      <c r="A17" s="2" t="s">
        <v>25</v>
      </c>
      <c r="B17" s="25" t="s">
        <v>14</v>
      </c>
      <c r="C17" s="25"/>
      <c r="D17" s="4" t="s">
        <v>0</v>
      </c>
      <c r="E17" s="4" t="s">
        <v>1</v>
      </c>
      <c r="F17" s="4" t="s">
        <v>12</v>
      </c>
      <c r="G17" s="7" t="s">
        <v>13</v>
      </c>
    </row>
    <row r="18" spans="1:7" x14ac:dyDescent="0.2">
      <c r="A18" s="3" t="s">
        <v>8</v>
      </c>
      <c r="B18">
        <v>0</v>
      </c>
      <c r="C18">
        <v>0</v>
      </c>
      <c r="D18">
        <f>AVERAGE(B18:C18)</f>
        <v>0</v>
      </c>
      <c r="E18" s="3">
        <v>1</v>
      </c>
      <c r="F18" s="3">
        <f>2268.9-1961.8</f>
        <v>307.10000000000014</v>
      </c>
      <c r="G18" s="8" t="e">
        <f>LOG10(100*D18*E18/F18*1000)</f>
        <v>#NUM!</v>
      </c>
    </row>
    <row r="19" spans="1:7" x14ac:dyDescent="0.2">
      <c r="A19" s="3" t="s">
        <v>9</v>
      </c>
      <c r="B19">
        <v>0</v>
      </c>
      <c r="C19">
        <v>0</v>
      </c>
      <c r="D19">
        <f t="shared" ref="D19:D23" si="4">AVERAGE(B19:C19)</f>
        <v>0</v>
      </c>
      <c r="E19" s="3">
        <v>1</v>
      </c>
      <c r="F19" s="3">
        <f>3242.6-1984.3</f>
        <v>1258.3</v>
      </c>
      <c r="G19" s="8" t="e">
        <f t="shared" ref="G19:G23" si="5">LOG10(100*D19*E19/F19*1000)</f>
        <v>#NUM!</v>
      </c>
    </row>
    <row r="20" spans="1:7" x14ac:dyDescent="0.2">
      <c r="A20" s="3" t="s">
        <v>10</v>
      </c>
      <c r="B20">
        <v>0</v>
      </c>
      <c r="C20">
        <v>0</v>
      </c>
      <c r="D20">
        <f t="shared" si="4"/>
        <v>0</v>
      </c>
      <c r="E20" s="3">
        <v>1</v>
      </c>
      <c r="F20" s="3">
        <f>2475.6-1746.9</f>
        <v>728.69999999999982</v>
      </c>
      <c r="G20" s="8" t="e">
        <f t="shared" si="5"/>
        <v>#NUM!</v>
      </c>
    </row>
    <row r="21" spans="1:7" x14ac:dyDescent="0.2">
      <c r="A21" s="3" t="s">
        <v>11</v>
      </c>
      <c r="B21">
        <v>0</v>
      </c>
      <c r="C21">
        <v>0</v>
      </c>
      <c r="D21">
        <f t="shared" si="4"/>
        <v>0</v>
      </c>
      <c r="E21" s="3">
        <v>1</v>
      </c>
      <c r="F21" s="3">
        <f>1956.6-1837.9</f>
        <v>118.69999999999982</v>
      </c>
      <c r="G21" s="8" t="e">
        <f t="shared" si="5"/>
        <v>#NUM!</v>
      </c>
    </row>
    <row r="22" spans="1:7" ht="17" x14ac:dyDescent="0.2">
      <c r="A22" s="4" t="s">
        <v>16</v>
      </c>
      <c r="B22" s="6">
        <v>0</v>
      </c>
      <c r="C22" s="6">
        <v>0</v>
      </c>
      <c r="D22">
        <f t="shared" si="4"/>
        <v>0</v>
      </c>
      <c r="E22" s="4">
        <v>1</v>
      </c>
      <c r="F22" s="4">
        <f>2083.3-1981.6</f>
        <v>101.70000000000027</v>
      </c>
      <c r="G22" s="8" t="e">
        <f t="shared" si="5"/>
        <v>#NUM!</v>
      </c>
    </row>
    <row r="23" spans="1:7" ht="17" x14ac:dyDescent="0.2">
      <c r="A23" s="4" t="s">
        <v>17</v>
      </c>
      <c r="B23">
        <v>0</v>
      </c>
      <c r="C23">
        <v>0</v>
      </c>
      <c r="D23">
        <f t="shared" si="4"/>
        <v>0</v>
      </c>
      <c r="E23" s="3">
        <v>1</v>
      </c>
      <c r="F23" s="3">
        <f>1908.1-1817.7</f>
        <v>90.399999999999864</v>
      </c>
      <c r="G23" s="8" t="e">
        <f t="shared" si="5"/>
        <v>#NUM!</v>
      </c>
    </row>
    <row r="24" spans="1:7" x14ac:dyDescent="0.2">
      <c r="A24" s="3"/>
      <c r="E24" s="3"/>
      <c r="F24" s="3"/>
      <c r="G24" s="8"/>
    </row>
    <row r="25" spans="1:7" ht="51" x14ac:dyDescent="0.2">
      <c r="A25" s="2" t="s">
        <v>26</v>
      </c>
      <c r="B25" s="25" t="s">
        <v>14</v>
      </c>
      <c r="C25" s="25"/>
      <c r="D25" s="4" t="s">
        <v>0</v>
      </c>
      <c r="E25" s="4" t="s">
        <v>1</v>
      </c>
      <c r="F25" s="4" t="s">
        <v>12</v>
      </c>
      <c r="G25" s="7" t="s">
        <v>13</v>
      </c>
    </row>
    <row r="26" spans="1:7" x14ac:dyDescent="0.2">
      <c r="A26" s="3" t="s">
        <v>8</v>
      </c>
      <c r="B26">
        <v>0</v>
      </c>
      <c r="C26">
        <v>0</v>
      </c>
      <c r="D26">
        <f>AVERAGE(B26:C26)</f>
        <v>0</v>
      </c>
      <c r="E26" s="3">
        <v>1</v>
      </c>
      <c r="F26" s="3">
        <f>2129.4-1887.2</f>
        <v>242.20000000000005</v>
      </c>
      <c r="G26" s="8" t="e">
        <f>LOG10(100*D26*E26/F26*1000)</f>
        <v>#NUM!</v>
      </c>
    </row>
    <row r="27" spans="1:7" x14ac:dyDescent="0.2">
      <c r="A27" s="3" t="s">
        <v>9</v>
      </c>
      <c r="B27">
        <v>1</v>
      </c>
      <c r="C27">
        <v>0</v>
      </c>
      <c r="D27">
        <f t="shared" ref="D27:D31" si="6">AVERAGE(B27:C27)</f>
        <v>0.5</v>
      </c>
      <c r="E27" s="3">
        <v>1</v>
      </c>
      <c r="F27" s="3">
        <f>3109.9-1952.3</f>
        <v>1157.6000000000001</v>
      </c>
      <c r="G27" s="8">
        <f t="shared" ref="G27:G31" si="7">LOG10(100*D27*E27/F27*1000)</f>
        <v>1.6354114862250377</v>
      </c>
    </row>
    <row r="28" spans="1:7" x14ac:dyDescent="0.2">
      <c r="A28" s="3" t="s">
        <v>10</v>
      </c>
      <c r="B28">
        <v>0</v>
      </c>
      <c r="C28">
        <v>0</v>
      </c>
      <c r="D28">
        <f t="shared" si="6"/>
        <v>0</v>
      </c>
      <c r="E28" s="3">
        <v>1</v>
      </c>
      <c r="F28" s="3">
        <f>2727.8-1892.4</f>
        <v>835.40000000000009</v>
      </c>
      <c r="G28" s="8" t="e">
        <f t="shared" si="7"/>
        <v>#NUM!</v>
      </c>
    </row>
    <row r="29" spans="1:7" x14ac:dyDescent="0.2">
      <c r="A29" s="3" t="s">
        <v>11</v>
      </c>
      <c r="B29">
        <v>0</v>
      </c>
      <c r="C29">
        <v>0</v>
      </c>
      <c r="D29">
        <f t="shared" si="6"/>
        <v>0</v>
      </c>
      <c r="E29" s="3">
        <v>1</v>
      </c>
      <c r="F29" s="3">
        <f>1856.9-1750.9</f>
        <v>106</v>
      </c>
      <c r="G29" s="8" t="e">
        <f t="shared" si="7"/>
        <v>#NUM!</v>
      </c>
    </row>
    <row r="30" spans="1:7" ht="17" x14ac:dyDescent="0.2">
      <c r="A30" s="4" t="s">
        <v>16</v>
      </c>
      <c r="B30" s="6">
        <v>0</v>
      </c>
      <c r="C30" s="6">
        <v>0</v>
      </c>
      <c r="D30">
        <f t="shared" si="6"/>
        <v>0</v>
      </c>
      <c r="E30" s="4">
        <v>1</v>
      </c>
      <c r="F30" s="4">
        <f>2070.2-1956.8</f>
        <v>113.39999999999986</v>
      </c>
      <c r="G30" s="8" t="e">
        <f t="shared" si="7"/>
        <v>#NUM!</v>
      </c>
    </row>
    <row r="31" spans="1:7" ht="17" x14ac:dyDescent="0.2">
      <c r="A31" s="4" t="s">
        <v>17</v>
      </c>
      <c r="B31">
        <v>0</v>
      </c>
      <c r="C31">
        <v>0</v>
      </c>
      <c r="D31">
        <f t="shared" si="6"/>
        <v>0</v>
      </c>
      <c r="E31" s="3">
        <v>1</v>
      </c>
      <c r="F31" s="3">
        <f>1983.9-1895.4</f>
        <v>88.5</v>
      </c>
      <c r="G31" s="8" t="e">
        <f t="shared" si="7"/>
        <v>#NUM!</v>
      </c>
    </row>
    <row r="32" spans="1:7" x14ac:dyDescent="0.2">
      <c r="A32" s="3"/>
      <c r="E32" s="3"/>
      <c r="F32" s="3"/>
      <c r="G32" s="8"/>
    </row>
    <row r="33" spans="1:7" ht="51" x14ac:dyDescent="0.2">
      <c r="A33" s="2" t="s">
        <v>27</v>
      </c>
      <c r="B33" s="25" t="s">
        <v>14</v>
      </c>
      <c r="C33" s="25"/>
      <c r="D33" s="4" t="s">
        <v>0</v>
      </c>
      <c r="E33" s="4" t="s">
        <v>1</v>
      </c>
      <c r="F33" s="4" t="s">
        <v>12</v>
      </c>
      <c r="G33" s="7" t="s">
        <v>13</v>
      </c>
    </row>
    <row r="34" spans="1:7" x14ac:dyDescent="0.2">
      <c r="A34" s="3" t="s">
        <v>8</v>
      </c>
      <c r="B34">
        <v>0</v>
      </c>
      <c r="C34">
        <v>0</v>
      </c>
      <c r="D34">
        <f>AVERAGE(B34:C34)</f>
        <v>0</v>
      </c>
      <c r="E34" s="3">
        <v>1</v>
      </c>
      <c r="F34" s="3">
        <f>2254.2-1896.7</f>
        <v>357.49999999999977</v>
      </c>
      <c r="G34" s="8" t="e">
        <f>LOG10(100*D34*E34/F34*1000)</f>
        <v>#NUM!</v>
      </c>
    </row>
    <row r="35" spans="1:7" x14ac:dyDescent="0.2">
      <c r="A35" s="3" t="s">
        <v>9</v>
      </c>
      <c r="B35">
        <v>1</v>
      </c>
      <c r="C35">
        <v>0</v>
      </c>
      <c r="D35">
        <f t="shared" ref="D35:D39" si="8">AVERAGE(B35:C35)</f>
        <v>0.5</v>
      </c>
      <c r="E35" s="3">
        <v>1</v>
      </c>
      <c r="F35" s="3">
        <f>2886.3-1876.4</f>
        <v>1009.9000000000001</v>
      </c>
      <c r="G35" s="8">
        <f t="shared" ref="G35:G39" si="9">LOG10(100*D35*E35/F35*1000)</f>
        <v>1.6946916321358563</v>
      </c>
    </row>
    <row r="36" spans="1:7" x14ac:dyDescent="0.2">
      <c r="A36" s="3" t="s">
        <v>10</v>
      </c>
      <c r="B36">
        <v>0</v>
      </c>
      <c r="C36">
        <v>0</v>
      </c>
      <c r="D36">
        <f t="shared" si="8"/>
        <v>0</v>
      </c>
      <c r="E36" s="3">
        <v>1</v>
      </c>
      <c r="F36" s="3">
        <f>2545.6-1804.5</f>
        <v>741.09999999999991</v>
      </c>
      <c r="G36" s="8" t="e">
        <f t="shared" si="9"/>
        <v>#NUM!</v>
      </c>
    </row>
    <row r="37" spans="1:7" x14ac:dyDescent="0.2">
      <c r="A37" s="3" t="s">
        <v>11</v>
      </c>
      <c r="B37">
        <v>0</v>
      </c>
      <c r="C37">
        <v>0</v>
      </c>
      <c r="D37">
        <f t="shared" si="8"/>
        <v>0</v>
      </c>
      <c r="E37" s="3">
        <v>1</v>
      </c>
      <c r="F37" s="3">
        <f>2108.1-1945.9</f>
        <v>162.19999999999982</v>
      </c>
      <c r="G37" s="8" t="e">
        <f t="shared" si="9"/>
        <v>#NUM!</v>
      </c>
    </row>
    <row r="38" spans="1:7" ht="17" x14ac:dyDescent="0.2">
      <c r="A38" s="4" t="s">
        <v>16</v>
      </c>
      <c r="B38" s="6">
        <v>0</v>
      </c>
      <c r="C38" s="6">
        <v>0</v>
      </c>
      <c r="D38">
        <f t="shared" si="8"/>
        <v>0</v>
      </c>
      <c r="E38" s="4">
        <v>1</v>
      </c>
      <c r="F38" s="4">
        <f>2099.4-1951.2</f>
        <v>148.20000000000005</v>
      </c>
      <c r="G38" s="8" t="e">
        <f t="shared" si="9"/>
        <v>#NUM!</v>
      </c>
    </row>
    <row r="39" spans="1:7" ht="17" x14ac:dyDescent="0.2">
      <c r="A39" s="4" t="s">
        <v>17</v>
      </c>
      <c r="B39">
        <v>0</v>
      </c>
      <c r="C39">
        <v>0</v>
      </c>
      <c r="D39">
        <f t="shared" si="8"/>
        <v>0</v>
      </c>
      <c r="E39" s="3">
        <v>1</v>
      </c>
      <c r="F39" s="3">
        <f>1891-1812.7</f>
        <v>78.299999999999955</v>
      </c>
      <c r="G39" s="8" t="e">
        <f t="shared" si="9"/>
        <v>#NUM!</v>
      </c>
    </row>
    <row r="40" spans="1:7" x14ac:dyDescent="0.2">
      <c r="A40" s="3"/>
      <c r="E40" s="3"/>
      <c r="F40" s="3"/>
      <c r="G40" s="8"/>
    </row>
    <row r="42" spans="1:7" x14ac:dyDescent="0.2">
      <c r="A42" s="2"/>
      <c r="B42" s="25"/>
      <c r="C42" s="25"/>
      <c r="D42" s="4"/>
      <c r="E42" s="4"/>
      <c r="F42" s="4"/>
      <c r="G42" s="7"/>
    </row>
    <row r="43" spans="1:7" x14ac:dyDescent="0.2">
      <c r="A43" s="3"/>
      <c r="E43" s="3"/>
      <c r="F43" s="3"/>
      <c r="G43" s="8"/>
    </row>
    <row r="44" spans="1:7" x14ac:dyDescent="0.2">
      <c r="A44" s="3"/>
      <c r="E44" s="3"/>
      <c r="F44" s="3"/>
      <c r="G44" s="8"/>
    </row>
    <row r="45" spans="1:7" x14ac:dyDescent="0.2">
      <c r="A45" s="3"/>
      <c r="E45" s="3"/>
      <c r="F45" s="3"/>
      <c r="G45" s="8"/>
    </row>
    <row r="46" spans="1:7" x14ac:dyDescent="0.2">
      <c r="A46" s="3"/>
      <c r="E46" s="3"/>
      <c r="F46" s="3"/>
      <c r="G46" s="8"/>
    </row>
    <row r="47" spans="1:7" x14ac:dyDescent="0.2">
      <c r="A47" s="4"/>
      <c r="B47" s="6"/>
      <c r="C47" s="6"/>
      <c r="E47" s="4"/>
      <c r="F47" s="4"/>
      <c r="G47" s="8"/>
    </row>
    <row r="48" spans="1:7" x14ac:dyDescent="0.2">
      <c r="A48" s="3"/>
      <c r="E48" s="3"/>
      <c r="F48" s="3"/>
      <c r="G48" s="8"/>
    </row>
    <row r="49" spans="1:7" x14ac:dyDescent="0.2">
      <c r="A49" s="3"/>
      <c r="E49" s="3"/>
      <c r="F49" s="3"/>
      <c r="G49" s="8"/>
    </row>
    <row r="50" spans="1:7" x14ac:dyDescent="0.2">
      <c r="A50" s="3"/>
      <c r="E50" s="3"/>
      <c r="F50" s="3"/>
      <c r="G50" s="8"/>
    </row>
    <row r="51" spans="1:7" x14ac:dyDescent="0.2">
      <c r="A51" s="3"/>
      <c r="E51" s="3"/>
      <c r="F51" s="3"/>
      <c r="G51" s="8"/>
    </row>
  </sheetData>
  <mergeCells count="6">
    <mergeCell ref="B1:C1"/>
    <mergeCell ref="B9:C9"/>
    <mergeCell ref="B17:C17"/>
    <mergeCell ref="B25:C25"/>
    <mergeCell ref="B33:C33"/>
    <mergeCell ref="B42:C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dose</vt:lpstr>
      <vt:lpstr>1h</vt:lpstr>
      <vt:lpstr>6h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2024-07-22T19:34:37Z</dcterms:modified>
</cp:coreProperties>
</file>