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3/Mouse GI carriage/"/>
    </mc:Choice>
  </mc:AlternateContent>
  <xr:revisionPtr revIDLastSave="0" documentId="13_ncr:1_{57A592CD-C7E4-CD4D-8329-42C72548C9E5}" xr6:coauthVersionLast="47" xr6:coauthVersionMax="47" xr10:uidLastSave="{00000000-0000-0000-0000-000000000000}"/>
  <bookViews>
    <workbookView xWindow="0" yWindow="760" windowWidth="30240" windowHeight="18880" activeTab="1" xr2:uid="{05D28018-5EC7-B748-ACA7-09DD0AD3B70C}"/>
  </bookViews>
  <sheets>
    <sheet name="dose" sheetId="4" r:id="rId1"/>
    <sheet name="day 3 organs " sheetId="8" r:id="rId2"/>
    <sheet name="day 7 organs" sheetId="9" r:id="rId3"/>
    <sheet name="day 14 organs" sheetId="10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7" i="8" l="1"/>
  <c r="J38" i="8"/>
  <c r="J39" i="8"/>
  <c r="J40" i="8"/>
  <c r="J41" i="8"/>
  <c r="J42" i="8"/>
  <c r="J43" i="8"/>
  <c r="J36" i="8"/>
  <c r="J35" i="8"/>
  <c r="J28" i="8"/>
  <c r="J26" i="8"/>
  <c r="J25" i="8"/>
  <c r="J27" i="8"/>
  <c r="J29" i="8"/>
  <c r="J30" i="8"/>
  <c r="J31" i="8"/>
  <c r="J32" i="8"/>
  <c r="J24" i="8"/>
  <c r="J19" i="8"/>
  <c r="J20" i="8"/>
  <c r="J18" i="8"/>
  <c r="J15" i="8"/>
  <c r="J16" i="8"/>
  <c r="J17" i="8"/>
  <c r="J14" i="8"/>
  <c r="J13" i="8"/>
  <c r="H14" i="8"/>
  <c r="J4" i="8"/>
  <c r="J5" i="8"/>
  <c r="J6" i="8"/>
  <c r="J3" i="8"/>
  <c r="H47" i="10"/>
  <c r="G54" i="10"/>
  <c r="G53" i="10"/>
  <c r="G52" i="10"/>
  <c r="G51" i="10"/>
  <c r="G50" i="10"/>
  <c r="G49" i="10"/>
  <c r="G48" i="10"/>
  <c r="G47" i="10"/>
  <c r="G46" i="10"/>
  <c r="H38" i="10"/>
  <c r="H36" i="10"/>
  <c r="G43" i="10"/>
  <c r="G42" i="10"/>
  <c r="G41" i="10"/>
  <c r="G40" i="10"/>
  <c r="G39" i="10"/>
  <c r="G38" i="10"/>
  <c r="G37" i="10"/>
  <c r="G36" i="10"/>
  <c r="G35" i="10"/>
  <c r="H25" i="10"/>
  <c r="G32" i="10"/>
  <c r="G31" i="10"/>
  <c r="H31" i="10" s="1"/>
  <c r="G30" i="10"/>
  <c r="G29" i="10"/>
  <c r="G28" i="10"/>
  <c r="G27" i="10"/>
  <c r="G26" i="10"/>
  <c r="G25" i="10"/>
  <c r="G24" i="10"/>
  <c r="H21" i="10"/>
  <c r="H16" i="10"/>
  <c r="G21" i="10"/>
  <c r="G20" i="10"/>
  <c r="G19" i="10"/>
  <c r="G18" i="10"/>
  <c r="G17" i="10"/>
  <c r="G16" i="10"/>
  <c r="G15" i="10"/>
  <c r="G14" i="10"/>
  <c r="G13" i="10"/>
  <c r="H9" i="10"/>
  <c r="H5" i="10"/>
  <c r="G10" i="10"/>
  <c r="G9" i="10"/>
  <c r="G8" i="10"/>
  <c r="G6" i="10"/>
  <c r="G5" i="10"/>
  <c r="G4" i="10"/>
  <c r="G3" i="10"/>
  <c r="G2" i="10"/>
  <c r="D54" i="10"/>
  <c r="H54" i="10" s="1"/>
  <c r="D53" i="10"/>
  <c r="H53" i="10" s="1"/>
  <c r="D52" i="10"/>
  <c r="H52" i="10" s="1"/>
  <c r="H51" i="10"/>
  <c r="D51" i="10"/>
  <c r="H50" i="10"/>
  <c r="D50" i="10"/>
  <c r="D49" i="10"/>
  <c r="D48" i="10"/>
  <c r="H48" i="10" s="1"/>
  <c r="D47" i="10"/>
  <c r="D46" i="10"/>
  <c r="D43" i="10"/>
  <c r="D42" i="10"/>
  <c r="D41" i="10"/>
  <c r="H41" i="10" s="1"/>
  <c r="H40" i="10"/>
  <c r="D40" i="10"/>
  <c r="D39" i="10"/>
  <c r="D38" i="10"/>
  <c r="D37" i="10"/>
  <c r="H37" i="10" s="1"/>
  <c r="D36" i="10"/>
  <c r="D35" i="10"/>
  <c r="H32" i="10"/>
  <c r="D32" i="10"/>
  <c r="D31" i="10"/>
  <c r="H30" i="10"/>
  <c r="D30" i="10"/>
  <c r="D29" i="10"/>
  <c r="H29" i="10" s="1"/>
  <c r="D28" i="10"/>
  <c r="H28" i="10" s="1"/>
  <c r="D27" i="10"/>
  <c r="H27" i="10" s="1"/>
  <c r="D26" i="10"/>
  <c r="H26" i="10" s="1"/>
  <c r="D25" i="10"/>
  <c r="D24" i="10"/>
  <c r="H24" i="10" s="1"/>
  <c r="D21" i="10"/>
  <c r="H20" i="10"/>
  <c r="D20" i="10"/>
  <c r="D19" i="10"/>
  <c r="D18" i="10"/>
  <c r="H18" i="10" s="1"/>
  <c r="D17" i="10"/>
  <c r="H17" i="10" s="1"/>
  <c r="D16" i="10"/>
  <c r="D15" i="10"/>
  <c r="D14" i="10"/>
  <c r="D13" i="10"/>
  <c r="H10" i="10"/>
  <c r="D10" i="10"/>
  <c r="D9" i="10"/>
  <c r="D8" i="10"/>
  <c r="D7" i="10"/>
  <c r="D6" i="10"/>
  <c r="D5" i="10"/>
  <c r="D4" i="10"/>
  <c r="H4" i="10" s="1"/>
  <c r="D3" i="10"/>
  <c r="D2" i="10"/>
  <c r="H51" i="9"/>
  <c r="H46" i="9"/>
  <c r="H47" i="9"/>
  <c r="H48" i="9"/>
  <c r="H49" i="9"/>
  <c r="H50" i="9"/>
  <c r="H52" i="9"/>
  <c r="H53" i="9"/>
  <c r="H54" i="9"/>
  <c r="G54" i="9"/>
  <c r="G53" i="9"/>
  <c r="G52" i="9"/>
  <c r="G50" i="9"/>
  <c r="G49" i="9"/>
  <c r="G48" i="9"/>
  <c r="G47" i="9"/>
  <c r="G46" i="9"/>
  <c r="G51" i="9"/>
  <c r="H31" i="9"/>
  <c r="H32" i="9"/>
  <c r="H30" i="9"/>
  <c r="G39" i="9"/>
  <c r="G38" i="9"/>
  <c r="G37" i="9"/>
  <c r="G36" i="9"/>
  <c r="G35" i="9"/>
  <c r="G43" i="9"/>
  <c r="G42" i="9"/>
  <c r="G41" i="9"/>
  <c r="G40" i="9"/>
  <c r="G28" i="9"/>
  <c r="G27" i="9"/>
  <c r="G26" i="9"/>
  <c r="G25" i="9"/>
  <c r="G24" i="9"/>
  <c r="G32" i="9"/>
  <c r="G31" i="9"/>
  <c r="G30" i="9"/>
  <c r="G29" i="9"/>
  <c r="H21" i="9"/>
  <c r="G21" i="9"/>
  <c r="G20" i="9"/>
  <c r="G19" i="9"/>
  <c r="G17" i="9"/>
  <c r="G16" i="9"/>
  <c r="G15" i="9"/>
  <c r="G3" i="9"/>
  <c r="G14" i="9"/>
  <c r="G13" i="9"/>
  <c r="G18" i="9"/>
  <c r="H10" i="9"/>
  <c r="G10" i="9"/>
  <c r="D10" i="9"/>
  <c r="G9" i="9"/>
  <c r="G8" i="9"/>
  <c r="G6" i="9"/>
  <c r="G5" i="9"/>
  <c r="G4" i="9"/>
  <c r="G2" i="9"/>
  <c r="G7" i="9"/>
  <c r="H53" i="8"/>
  <c r="G54" i="8"/>
  <c r="G53" i="8"/>
  <c r="G52" i="8"/>
  <c r="G51" i="8"/>
  <c r="G50" i="8"/>
  <c r="G49" i="8"/>
  <c r="G48" i="8"/>
  <c r="G47" i="8"/>
  <c r="G46" i="8"/>
  <c r="H35" i="8"/>
  <c r="G43" i="8"/>
  <c r="G42" i="8"/>
  <c r="G41" i="8"/>
  <c r="G40" i="8"/>
  <c r="G39" i="8"/>
  <c r="G38" i="8"/>
  <c r="G37" i="8"/>
  <c r="G36" i="8"/>
  <c r="G35" i="8"/>
  <c r="H27" i="8"/>
  <c r="H24" i="8"/>
  <c r="G32" i="8"/>
  <c r="G31" i="8"/>
  <c r="G30" i="8"/>
  <c r="G29" i="8"/>
  <c r="G28" i="8"/>
  <c r="G27" i="8"/>
  <c r="G26" i="8"/>
  <c r="G25" i="8"/>
  <c r="G24" i="8"/>
  <c r="H20" i="8"/>
  <c r="H19" i="8"/>
  <c r="H18" i="8"/>
  <c r="H13" i="8"/>
  <c r="G21" i="8"/>
  <c r="G20" i="8"/>
  <c r="G19" i="8"/>
  <c r="G18" i="8"/>
  <c r="G17" i="8"/>
  <c r="G16" i="8"/>
  <c r="G15" i="8"/>
  <c r="G14" i="8"/>
  <c r="G13" i="8"/>
  <c r="G10" i="8"/>
  <c r="G9" i="8"/>
  <c r="G8" i="8"/>
  <c r="G7" i="8"/>
  <c r="G6" i="8"/>
  <c r="G5" i="8"/>
  <c r="G4" i="8"/>
  <c r="G3" i="8"/>
  <c r="G2" i="8"/>
  <c r="D54" i="9"/>
  <c r="D53" i="9"/>
  <c r="D52" i="9"/>
  <c r="D51" i="9"/>
  <c r="D50" i="9"/>
  <c r="D49" i="9"/>
  <c r="D48" i="9"/>
  <c r="D47" i="9"/>
  <c r="D46" i="9"/>
  <c r="D43" i="9"/>
  <c r="H43" i="9" s="1"/>
  <c r="D42" i="9"/>
  <c r="D41" i="9"/>
  <c r="H41" i="9" s="1"/>
  <c r="D40" i="9"/>
  <c r="H40" i="9" s="1"/>
  <c r="D39" i="9"/>
  <c r="H39" i="9" s="1"/>
  <c r="D38" i="9"/>
  <c r="H38" i="9" s="1"/>
  <c r="D37" i="9"/>
  <c r="H37" i="9" s="1"/>
  <c r="D36" i="9"/>
  <c r="H36" i="9" s="1"/>
  <c r="D35" i="9"/>
  <c r="D32" i="9"/>
  <c r="D31" i="9"/>
  <c r="D30" i="9"/>
  <c r="D29" i="9"/>
  <c r="H29" i="9" s="1"/>
  <c r="D28" i="9"/>
  <c r="H28" i="9" s="1"/>
  <c r="D27" i="9"/>
  <c r="H27" i="9" s="1"/>
  <c r="D26" i="9"/>
  <c r="H26" i="9" s="1"/>
  <c r="D25" i="9"/>
  <c r="D24" i="9"/>
  <c r="H24" i="9" s="1"/>
  <c r="D21" i="9"/>
  <c r="D20" i="9"/>
  <c r="H20" i="9" s="1"/>
  <c r="D19" i="9"/>
  <c r="H19" i="9" s="1"/>
  <c r="D18" i="9"/>
  <c r="D17" i="9"/>
  <c r="H17" i="9" s="1"/>
  <c r="D16" i="9"/>
  <c r="H16" i="9" s="1"/>
  <c r="D15" i="9"/>
  <c r="D14" i="9"/>
  <c r="D13" i="9"/>
  <c r="H13" i="9" s="1"/>
  <c r="D9" i="9"/>
  <c r="D8" i="9"/>
  <c r="H8" i="9" s="1"/>
  <c r="D7" i="9"/>
  <c r="H7" i="9" s="1"/>
  <c r="D6" i="9"/>
  <c r="H6" i="9" s="1"/>
  <c r="D5" i="9"/>
  <c r="H5" i="9" s="1"/>
  <c r="D4" i="9"/>
  <c r="H4" i="9" s="1"/>
  <c r="D3" i="9"/>
  <c r="H3" i="9" s="1"/>
  <c r="D2" i="9"/>
  <c r="H2" i="9" s="1"/>
  <c r="D54" i="8"/>
  <c r="H54" i="8" s="1"/>
  <c r="D53" i="8"/>
  <c r="D52" i="8"/>
  <c r="H52" i="8" s="1"/>
  <c r="D51" i="8"/>
  <c r="H51" i="8" s="1"/>
  <c r="D50" i="8"/>
  <c r="H50" i="8" s="1"/>
  <c r="D49" i="8"/>
  <c r="H49" i="8" s="1"/>
  <c r="D48" i="8"/>
  <c r="H48" i="8" s="1"/>
  <c r="D47" i="8"/>
  <c r="H47" i="8" s="1"/>
  <c r="D46" i="8"/>
  <c r="H46" i="8" s="1"/>
  <c r="D43" i="8"/>
  <c r="H43" i="8" s="1"/>
  <c r="D42" i="8"/>
  <c r="D41" i="8"/>
  <c r="D40" i="8"/>
  <c r="H40" i="8" s="1"/>
  <c r="D39" i="8"/>
  <c r="H39" i="8" s="1"/>
  <c r="D38" i="8"/>
  <c r="H38" i="8" s="1"/>
  <c r="D37" i="8"/>
  <c r="H37" i="8" s="1"/>
  <c r="D36" i="8"/>
  <c r="H36" i="8" s="1"/>
  <c r="D35" i="8"/>
  <c r="D32" i="8"/>
  <c r="H32" i="8" s="1"/>
  <c r="D31" i="8"/>
  <c r="H31" i="8" s="1"/>
  <c r="D30" i="8"/>
  <c r="H30" i="8" s="1"/>
  <c r="D29" i="8"/>
  <c r="D28" i="8"/>
  <c r="D27" i="8"/>
  <c r="D26" i="8"/>
  <c r="H26" i="8" s="1"/>
  <c r="D25" i="8"/>
  <c r="H25" i="8" s="1"/>
  <c r="D24" i="8"/>
  <c r="D21" i="8"/>
  <c r="H21" i="8" s="1"/>
  <c r="D20" i="8"/>
  <c r="D19" i="8"/>
  <c r="D18" i="8"/>
  <c r="D17" i="8"/>
  <c r="H17" i="8" s="1"/>
  <c r="D16" i="8"/>
  <c r="H16" i="8" s="1"/>
  <c r="D15" i="8"/>
  <c r="H15" i="8" s="1"/>
  <c r="D14" i="8"/>
  <c r="D13" i="8"/>
  <c r="D10" i="8"/>
  <c r="D9" i="8"/>
  <c r="H9" i="8" s="1"/>
  <c r="D8" i="8"/>
  <c r="H8" i="8" s="1"/>
  <c r="D7" i="8"/>
  <c r="H7" i="8" s="1"/>
  <c r="D6" i="8"/>
  <c r="D5" i="8"/>
  <c r="D4" i="8"/>
  <c r="H4" i="8" s="1"/>
  <c r="D3" i="8"/>
  <c r="H3" i="8" s="1"/>
  <c r="D2" i="8"/>
  <c r="H46" i="10" l="1"/>
  <c r="H42" i="10"/>
  <c r="H14" i="10"/>
  <c r="H13" i="10"/>
  <c r="H8" i="10"/>
  <c r="H6" i="10"/>
  <c r="H3" i="10"/>
  <c r="H2" i="10"/>
  <c r="H49" i="10"/>
  <c r="H35" i="10"/>
  <c r="H39" i="10"/>
  <c r="H43" i="10"/>
  <c r="H15" i="10"/>
  <c r="H19" i="10"/>
  <c r="H35" i="9"/>
  <c r="H42" i="9"/>
  <c r="H25" i="9"/>
  <c r="H15" i="9"/>
  <c r="H14" i="9"/>
  <c r="H18" i="9"/>
  <c r="H9" i="9"/>
  <c r="H42" i="8"/>
  <c r="H41" i="8"/>
  <c r="H29" i="8"/>
  <c r="H28" i="8"/>
  <c r="H5" i="8"/>
  <c r="H2" i="8"/>
  <c r="H6" i="8"/>
  <c r="H10" i="8"/>
  <c r="E2" i="4" l="1"/>
  <c r="F2" i="4" s="1"/>
  <c r="G2" i="4" l="1"/>
</calcChain>
</file>

<file path=xl/sharedStrings.xml><?xml version="1.0" encoding="utf-8"?>
<sst xmlns="http://schemas.openxmlformats.org/spreadsheetml/2006/main" count="249" uniqueCount="41">
  <si>
    <t>number of CFU (not diluted)</t>
  </si>
  <si>
    <t>mean in 10 µL</t>
  </si>
  <si>
    <t>Dilution factor</t>
  </si>
  <si>
    <t>Colony Count</t>
  </si>
  <si>
    <t>Dilution Factor</t>
  </si>
  <si>
    <t>Average CFUs</t>
  </si>
  <si>
    <t>Log CFUs</t>
  </si>
  <si>
    <t>CFUs/50uL</t>
  </si>
  <si>
    <t>OD reached</t>
  </si>
  <si>
    <t>stomach</t>
  </si>
  <si>
    <t>small intestine</t>
  </si>
  <si>
    <t>caecum</t>
  </si>
  <si>
    <t>colon</t>
  </si>
  <si>
    <t>feces</t>
  </si>
  <si>
    <t xml:space="preserve">spleen </t>
  </si>
  <si>
    <t>liver</t>
  </si>
  <si>
    <t xml:space="preserve">Gall bladder </t>
  </si>
  <si>
    <t>organ weights (mg)</t>
  </si>
  <si>
    <t>Log10 CFU/g of organ</t>
  </si>
  <si>
    <t>lungs</t>
  </si>
  <si>
    <t>BL048 10^8 LB (VBM plates)</t>
  </si>
  <si>
    <t>10 x 0.159</t>
  </si>
  <si>
    <t xml:space="preserve">BL048 day 3 mouse 1 </t>
  </si>
  <si>
    <t>BL048 day 3 mouse 2</t>
  </si>
  <si>
    <t>BL048 day 3 mouse 3</t>
  </si>
  <si>
    <t>BL048 day 3 mouse 4</t>
  </si>
  <si>
    <t>BL048 day 3 mouse 5</t>
  </si>
  <si>
    <t>BL048 day 7 mouse 6</t>
  </si>
  <si>
    <t>BL048 day 7 mouse 7</t>
  </si>
  <si>
    <t>BL048 day 7 mouse 8</t>
  </si>
  <si>
    <t>BL048 day 7 mouse 9</t>
  </si>
  <si>
    <t>BL048 day 7 mouse 10</t>
  </si>
  <si>
    <t>number of CFU in 10µL (not diluted)</t>
  </si>
  <si>
    <t>CFU in 100µL</t>
  </si>
  <si>
    <t>BL048 day 14 mouse 11 - found dead</t>
  </si>
  <si>
    <t>BL048 day 14 mouse 12</t>
  </si>
  <si>
    <t>BL048 day 14 mouse 13</t>
  </si>
  <si>
    <t>BL048 day 14 mouse 14</t>
  </si>
  <si>
    <t>BL048 day 14 mouse 15</t>
  </si>
  <si>
    <t>Gall bladder - not found</t>
  </si>
  <si>
    <t>% Bacteria per organ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</si>
</sst>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AEA1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0" fontId="0" fillId="0" borderId="2" xfId="0" applyBorder="1"/>
    <xf numFmtId="11" fontId="0" fillId="0" borderId="2" xfId="0" applyNumberFormat="1" applyBorder="1" applyAlignment="1">
      <alignment horizontal="center" vertical="center"/>
    </xf>
    <xf numFmtId="0" fontId="0" fillId="0" borderId="5" xfId="0" applyBorder="1"/>
    <xf numFmtId="11" fontId="0" fillId="0" borderId="5" xfId="0" applyNumberForma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65" fontId="0" fillId="2" borderId="3" xfId="0" applyNumberFormat="1" applyFill="1" applyBorder="1" applyAlignment="1">
      <alignment horizontal="center" vertical="center"/>
    </xf>
    <xf numFmtId="165" fontId="0" fillId="2" borderId="6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B1:I15"/>
  <sheetViews>
    <sheetView workbookViewId="0">
      <selection activeCell="G5" sqref="G5"/>
    </sheetView>
  </sheetViews>
  <sheetFormatPr baseColWidth="10" defaultRowHeight="16" x14ac:dyDescent="0.2"/>
  <cols>
    <col min="2" max="2" width="14.83203125" customWidth="1"/>
  </cols>
  <sheetData>
    <row r="1" spans="2:9" x14ac:dyDescent="0.2">
      <c r="B1" s="1"/>
      <c r="C1" s="5" t="s">
        <v>3</v>
      </c>
      <c r="D1" s="5" t="s">
        <v>4</v>
      </c>
      <c r="E1" s="5" t="s">
        <v>7</v>
      </c>
      <c r="F1" s="5" t="s">
        <v>5</v>
      </c>
      <c r="G1" s="5" t="s">
        <v>6</v>
      </c>
      <c r="I1" s="5" t="s">
        <v>8</v>
      </c>
    </row>
    <row r="2" spans="2:9" x14ac:dyDescent="0.2">
      <c r="B2" s="19" t="s">
        <v>20</v>
      </c>
      <c r="C2" s="9">
        <v>34</v>
      </c>
      <c r="D2" s="10">
        <v>100000</v>
      </c>
      <c r="E2" s="10">
        <f t="shared" ref="E2" si="0">C2*5*D2</f>
        <v>17000000</v>
      </c>
      <c r="F2" s="21">
        <f>AVERAGE(E2:E3)</f>
        <v>17000000</v>
      </c>
      <c r="G2" s="23">
        <f>LOG10(F2)</f>
        <v>7.2304489213782741</v>
      </c>
      <c r="I2" s="18" t="s">
        <v>21</v>
      </c>
    </row>
    <row r="3" spans="2:9" x14ac:dyDescent="0.2">
      <c r="B3" s="20"/>
      <c r="C3" s="11"/>
      <c r="D3" s="12"/>
      <c r="E3" s="12"/>
      <c r="F3" s="22"/>
      <c r="G3" s="24"/>
      <c r="I3" s="18"/>
    </row>
    <row r="4" spans="2:9" x14ac:dyDescent="0.2">
      <c r="B4" s="6"/>
      <c r="D4" s="13"/>
      <c r="E4" s="13"/>
      <c r="F4" s="14"/>
      <c r="G4" s="15"/>
      <c r="I4" s="16"/>
    </row>
    <row r="5" spans="2:9" x14ac:dyDescent="0.2">
      <c r="B5" s="6"/>
      <c r="D5" s="13"/>
      <c r="E5" s="13"/>
      <c r="F5" s="14"/>
      <c r="G5" s="15"/>
      <c r="I5" s="16"/>
    </row>
    <row r="6" spans="2:9" x14ac:dyDescent="0.2">
      <c r="B6" s="6"/>
      <c r="D6" s="13"/>
      <c r="E6" s="13"/>
      <c r="F6" s="14"/>
      <c r="G6" s="15"/>
      <c r="I6" s="16"/>
    </row>
    <row r="7" spans="2:9" x14ac:dyDescent="0.2">
      <c r="B7" s="6"/>
      <c r="D7" s="13"/>
      <c r="E7" s="13"/>
      <c r="F7" s="14"/>
      <c r="G7" s="15"/>
      <c r="I7" s="16"/>
    </row>
    <row r="8" spans="2:9" x14ac:dyDescent="0.2">
      <c r="B8" s="6"/>
      <c r="D8" s="13"/>
      <c r="E8" s="13"/>
      <c r="F8" s="14"/>
      <c r="G8" s="15"/>
      <c r="I8" s="16"/>
    </row>
    <row r="9" spans="2:9" x14ac:dyDescent="0.2">
      <c r="B9" s="6"/>
      <c r="D9" s="13"/>
      <c r="E9" s="13"/>
      <c r="F9" s="14"/>
      <c r="G9" s="15"/>
      <c r="I9" s="16"/>
    </row>
    <row r="10" spans="2:9" x14ac:dyDescent="0.2">
      <c r="B10" s="4"/>
      <c r="D10" s="13"/>
      <c r="E10" s="13"/>
      <c r="F10" s="13"/>
      <c r="G10" s="17"/>
      <c r="I10" s="1"/>
    </row>
    <row r="11" spans="2:9" x14ac:dyDescent="0.2">
      <c r="B11" s="4"/>
      <c r="D11" s="13"/>
      <c r="E11" s="13"/>
      <c r="F11" s="13"/>
      <c r="G11" s="17"/>
      <c r="I11" s="1"/>
    </row>
    <row r="12" spans="2:9" x14ac:dyDescent="0.2">
      <c r="B12" s="4"/>
      <c r="D12" s="13"/>
      <c r="E12" s="13"/>
      <c r="F12" s="13"/>
      <c r="G12" s="17"/>
      <c r="I12" s="1"/>
    </row>
    <row r="13" spans="2:9" x14ac:dyDescent="0.2">
      <c r="B13" s="4"/>
      <c r="D13" s="13"/>
      <c r="E13" s="13"/>
      <c r="F13" s="13"/>
      <c r="G13" s="17"/>
      <c r="I13" s="1"/>
    </row>
    <row r="14" spans="2:9" x14ac:dyDescent="0.2">
      <c r="B14" s="6"/>
      <c r="D14" s="13"/>
      <c r="E14" s="13"/>
      <c r="F14" s="14"/>
      <c r="G14" s="16"/>
    </row>
    <row r="15" spans="2:9" x14ac:dyDescent="0.2">
      <c r="B15" s="6"/>
      <c r="D15" s="13"/>
      <c r="E15" s="13"/>
      <c r="F15" s="14"/>
      <c r="G15" s="16"/>
    </row>
  </sheetData>
  <mergeCells count="4">
    <mergeCell ref="I2:I3"/>
    <mergeCell ref="B2:B3"/>
    <mergeCell ref="F2:F3"/>
    <mergeCell ref="G2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10D40-A0F0-F947-8ED7-257928757B1D}">
  <dimension ref="A1:J54"/>
  <sheetViews>
    <sheetView tabSelected="1" workbookViewId="0">
      <selection activeCell="J46" sqref="J46"/>
    </sheetView>
  </sheetViews>
  <sheetFormatPr baseColWidth="10" defaultRowHeight="16" x14ac:dyDescent="0.2"/>
  <cols>
    <col min="1" max="1" width="19" customWidth="1"/>
    <col min="6" max="6" width="10.83203125" style="1"/>
    <col min="10" max="10" width="12.1640625" bestFit="1" customWidth="1"/>
  </cols>
  <sheetData>
    <row r="1" spans="1:10" ht="51" x14ac:dyDescent="0.2">
      <c r="A1" s="2" t="s">
        <v>22</v>
      </c>
      <c r="B1" s="25" t="s">
        <v>32</v>
      </c>
      <c r="C1" s="25"/>
      <c r="D1" s="4" t="s">
        <v>1</v>
      </c>
      <c r="E1" s="4" t="s">
        <v>2</v>
      </c>
      <c r="F1" s="4" t="s">
        <v>33</v>
      </c>
      <c r="G1" s="4" t="s">
        <v>17</v>
      </c>
      <c r="H1" s="7" t="s">
        <v>18</v>
      </c>
      <c r="J1" s="4" t="s">
        <v>40</v>
      </c>
    </row>
    <row r="2" spans="1:10" x14ac:dyDescent="0.2">
      <c r="A2" s="3" t="s">
        <v>9</v>
      </c>
      <c r="B2">
        <v>0</v>
      </c>
      <c r="C2">
        <v>0</v>
      </c>
      <c r="D2">
        <f>AVERAGE(B2:C2)</f>
        <v>0</v>
      </c>
      <c r="E2" s="3">
        <v>1</v>
      </c>
      <c r="F2" s="1">
        <v>0</v>
      </c>
      <c r="G2" s="3">
        <f>2081.4-1795.1</f>
        <v>286.30000000000018</v>
      </c>
      <c r="H2" s="8" t="e">
        <f>LOG10(D2*100*E2/G2*1000)</f>
        <v>#NUM!</v>
      </c>
      <c r="J2">
        <v>0</v>
      </c>
    </row>
    <row r="3" spans="1:10" x14ac:dyDescent="0.2">
      <c r="A3" s="3" t="s">
        <v>10</v>
      </c>
      <c r="B3">
        <v>47</v>
      </c>
      <c r="C3">
        <v>45</v>
      </c>
      <c r="D3">
        <f t="shared" ref="D3:D10" si="0">AVERAGE(B3:C3)</f>
        <v>46</v>
      </c>
      <c r="E3" s="3">
        <v>10</v>
      </c>
      <c r="G3" s="3">
        <f>3113.7-1867.1</f>
        <v>1246.5999999999999</v>
      </c>
      <c r="H3" s="8">
        <f>LOG10(D3*100*E3/G3*1000)</f>
        <v>4.5670307091255946</v>
      </c>
      <c r="J3">
        <f>(D3*E3)/(D$3*E$3+D$4*E$4+D$5*E$5+D$6*E$6)</f>
        <v>6.3671345126373776E-4</v>
      </c>
    </row>
    <row r="4" spans="1:10" x14ac:dyDescent="0.2">
      <c r="A4" s="3" t="s">
        <v>11</v>
      </c>
      <c r="B4">
        <v>52</v>
      </c>
      <c r="C4">
        <v>59</v>
      </c>
      <c r="D4">
        <f t="shared" si="0"/>
        <v>55.5</v>
      </c>
      <c r="E4" s="3">
        <v>10000</v>
      </c>
      <c r="G4" s="3">
        <f>3070.1-1796.7</f>
        <v>1273.3999999999999</v>
      </c>
      <c r="H4" s="8">
        <f t="shared" ref="H4:H10" si="1">LOG10(D4*100*E4/G4*1000)</f>
        <v>7.6393281375948536</v>
      </c>
      <c r="J4">
        <f t="shared" ref="J4:J6" si="2">(D4*E4)/(D$3*E$3+D$4*E$4+D$5*E$5+D$6*E$6)</f>
        <v>0.76820862054646621</v>
      </c>
    </row>
    <row r="5" spans="1:10" x14ac:dyDescent="0.2">
      <c r="A5" s="3" t="s">
        <v>12</v>
      </c>
      <c r="B5">
        <v>18</v>
      </c>
      <c r="C5">
        <v>22</v>
      </c>
      <c r="D5">
        <f t="shared" si="0"/>
        <v>20</v>
      </c>
      <c r="E5" s="3">
        <v>100</v>
      </c>
      <c r="G5" s="3">
        <f>1851.5-1735.8</f>
        <v>115.70000000000005</v>
      </c>
      <c r="H5" s="8">
        <f t="shared" si="1"/>
        <v>6.2376966367122311</v>
      </c>
      <c r="J5">
        <f t="shared" si="2"/>
        <v>2.7683193533205989E-3</v>
      </c>
    </row>
    <row r="6" spans="1:10" ht="17" x14ac:dyDescent="0.2">
      <c r="A6" s="4" t="s">
        <v>13</v>
      </c>
      <c r="B6" s="6">
        <v>19</v>
      </c>
      <c r="C6" s="6">
        <v>14</v>
      </c>
      <c r="D6">
        <f t="shared" si="0"/>
        <v>16.5</v>
      </c>
      <c r="E6" s="4">
        <v>10000</v>
      </c>
      <c r="F6" s="4"/>
      <c r="G6" s="4">
        <f>1907.8-1749.5</f>
        <v>158.29999999999995</v>
      </c>
      <c r="H6" s="8">
        <f t="shared" si="1"/>
        <v>8.0180030293515507</v>
      </c>
      <c r="J6" s="26">
        <f t="shared" si="2"/>
        <v>0.22838634664894941</v>
      </c>
    </row>
    <row r="7" spans="1:10" x14ac:dyDescent="0.2">
      <c r="A7" s="3" t="s">
        <v>16</v>
      </c>
      <c r="B7">
        <v>0</v>
      </c>
      <c r="C7">
        <v>0</v>
      </c>
      <c r="D7">
        <f t="shared" si="0"/>
        <v>0</v>
      </c>
      <c r="E7" s="3">
        <v>1</v>
      </c>
      <c r="F7" s="1">
        <v>0</v>
      </c>
      <c r="G7" s="3">
        <f>1861.5-1813.7</f>
        <v>47.799999999999955</v>
      </c>
      <c r="H7" s="8" t="e">
        <f t="shared" si="1"/>
        <v>#NUM!</v>
      </c>
      <c r="J7">
        <v>0</v>
      </c>
    </row>
    <row r="8" spans="1:10" x14ac:dyDescent="0.2">
      <c r="A8" s="3" t="s">
        <v>14</v>
      </c>
      <c r="B8">
        <v>0</v>
      </c>
      <c r="C8">
        <v>0</v>
      </c>
      <c r="D8">
        <f t="shared" si="0"/>
        <v>0</v>
      </c>
      <c r="E8" s="3">
        <v>1</v>
      </c>
      <c r="F8" s="1">
        <v>0</v>
      </c>
      <c r="G8" s="3">
        <f>1851-1735.8</f>
        <v>115.20000000000005</v>
      </c>
      <c r="H8" s="8" t="e">
        <f t="shared" si="1"/>
        <v>#NUM!</v>
      </c>
      <c r="J8">
        <v>0</v>
      </c>
    </row>
    <row r="9" spans="1:10" x14ac:dyDescent="0.2">
      <c r="A9" s="3" t="s">
        <v>15</v>
      </c>
      <c r="B9">
        <v>0</v>
      </c>
      <c r="C9">
        <v>0</v>
      </c>
      <c r="D9">
        <f t="shared" si="0"/>
        <v>0</v>
      </c>
      <c r="E9" s="3">
        <v>1</v>
      </c>
      <c r="F9" s="1">
        <v>0</v>
      </c>
      <c r="G9" s="3">
        <f>2655-1816.4</f>
        <v>838.59999999999991</v>
      </c>
      <c r="H9" s="8" t="e">
        <f t="shared" si="1"/>
        <v>#NUM!</v>
      </c>
      <c r="J9">
        <v>0</v>
      </c>
    </row>
    <row r="10" spans="1:10" x14ac:dyDescent="0.2">
      <c r="A10" s="3" t="s">
        <v>19</v>
      </c>
      <c r="B10">
        <v>0</v>
      </c>
      <c r="C10">
        <v>0</v>
      </c>
      <c r="D10">
        <f t="shared" si="0"/>
        <v>0</v>
      </c>
      <c r="E10" s="3">
        <v>1</v>
      </c>
      <c r="F10" s="1">
        <v>0</v>
      </c>
      <c r="G10" s="3">
        <f>1873-1722.2</f>
        <v>150.79999999999995</v>
      </c>
      <c r="H10" s="8" t="e">
        <f t="shared" si="1"/>
        <v>#NUM!</v>
      </c>
      <c r="J10">
        <v>0</v>
      </c>
    </row>
    <row r="11" spans="1:10" x14ac:dyDescent="0.2">
      <c r="E11" s="3"/>
      <c r="G11" s="3"/>
      <c r="H11" s="8"/>
    </row>
    <row r="12" spans="1:10" ht="51" x14ac:dyDescent="0.2">
      <c r="A12" s="2" t="s">
        <v>23</v>
      </c>
      <c r="B12" s="25" t="s">
        <v>0</v>
      </c>
      <c r="C12" s="25"/>
      <c r="D12" s="4" t="s">
        <v>1</v>
      </c>
      <c r="E12" s="4" t="s">
        <v>2</v>
      </c>
      <c r="F12" s="4" t="s">
        <v>33</v>
      </c>
      <c r="G12" s="4" t="s">
        <v>17</v>
      </c>
      <c r="H12" s="7" t="s">
        <v>18</v>
      </c>
    </row>
    <row r="13" spans="1:10" x14ac:dyDescent="0.2">
      <c r="A13" s="3" t="s">
        <v>9</v>
      </c>
      <c r="D13" t="e">
        <f>AVERAGE(B13:C13)</f>
        <v>#DIV/0!</v>
      </c>
      <c r="E13" s="3"/>
      <c r="F13" s="1">
        <v>70</v>
      </c>
      <c r="G13" s="3">
        <f>2154.4-1818.9</f>
        <v>335.5</v>
      </c>
      <c r="H13" s="8">
        <f>LOG10(F13*10/G13*1000)</f>
        <v>3.3194055155092461</v>
      </c>
      <c r="J13">
        <f>F13*10/(F$13*10+(D$14*E$14+D$15*E$15+D$16*E$16+D$17*E$17)*100+(F$18+F$19+F$20)*10)</f>
        <v>4.9394553319056423E-6</v>
      </c>
    </row>
    <row r="14" spans="1:10" x14ac:dyDescent="0.2">
      <c r="A14" s="3" t="s">
        <v>10</v>
      </c>
      <c r="B14">
        <v>9</v>
      </c>
      <c r="C14">
        <v>9</v>
      </c>
      <c r="D14">
        <f t="shared" ref="D14:D21" si="3">AVERAGE(B14:C14)</f>
        <v>9</v>
      </c>
      <c r="E14" s="3">
        <v>100</v>
      </c>
      <c r="G14" s="3">
        <f>2980.6-1787.6</f>
        <v>1193</v>
      </c>
      <c r="H14" s="8">
        <f>LOG10(D14*100*E14/G14*1000)</f>
        <v>4.8776020657689827</v>
      </c>
      <c r="J14">
        <f>D14*E14*100/(F$13*10+(D$14*E$14+D$15*E$15+D$16*E$16+D$17*E$17)*100+(F$18+F$19+F$20)*10)</f>
        <v>6.3507282838786837E-4</v>
      </c>
    </row>
    <row r="15" spans="1:10" x14ac:dyDescent="0.2">
      <c r="A15" s="3" t="s">
        <v>11</v>
      </c>
      <c r="B15">
        <v>11</v>
      </c>
      <c r="C15">
        <v>14</v>
      </c>
      <c r="D15">
        <f t="shared" si="3"/>
        <v>12.5</v>
      </c>
      <c r="E15" s="3">
        <v>100000</v>
      </c>
      <c r="G15" s="3">
        <f>2934.8-1816.7</f>
        <v>1118.1000000000001</v>
      </c>
      <c r="H15" s="8">
        <f t="shared" ref="H15:H21" si="4">LOG10(D15*100*E15/G15*1000)</f>
        <v>8.0484293655345542</v>
      </c>
      <c r="J15">
        <f t="shared" ref="J15:J17" si="5">D15*E15*100/(F$13*10+(D$14*E$14+D$15*E$15+D$16*E$16+D$17*E$17)*100+(F$18+F$19+F$20)*10)</f>
        <v>0.88204559498315049</v>
      </c>
    </row>
    <row r="16" spans="1:10" x14ac:dyDescent="0.2">
      <c r="A16" s="3" t="s">
        <v>12</v>
      </c>
      <c r="B16">
        <v>10</v>
      </c>
      <c r="C16">
        <v>15</v>
      </c>
      <c r="D16">
        <f t="shared" si="3"/>
        <v>12.5</v>
      </c>
      <c r="E16" s="3">
        <v>100</v>
      </c>
      <c r="G16" s="3">
        <f>1775.6-1665.3</f>
        <v>110.29999999999995</v>
      </c>
      <c r="H16" s="8">
        <f t="shared" si="4"/>
        <v>6.0543345005678662</v>
      </c>
      <c r="J16">
        <f t="shared" si="5"/>
        <v>8.8204559498315045E-4</v>
      </c>
    </row>
    <row r="17" spans="1:10" ht="17" x14ac:dyDescent="0.2">
      <c r="A17" s="4" t="s">
        <v>13</v>
      </c>
      <c r="B17" s="6">
        <v>18</v>
      </c>
      <c r="C17" s="6">
        <v>15</v>
      </c>
      <c r="D17">
        <f t="shared" si="3"/>
        <v>16.5</v>
      </c>
      <c r="E17" s="4">
        <v>10000</v>
      </c>
      <c r="F17" s="4"/>
      <c r="G17" s="4">
        <f>1904-1729.3</f>
        <v>174.70000000000005</v>
      </c>
      <c r="H17" s="8">
        <f t="shared" si="4"/>
        <v>7.9751910392309755</v>
      </c>
      <c r="J17">
        <f t="shared" si="5"/>
        <v>0.11643001853777586</v>
      </c>
    </row>
    <row r="18" spans="1:10" x14ac:dyDescent="0.2">
      <c r="A18" s="3" t="s">
        <v>16</v>
      </c>
      <c r="D18" t="e">
        <f t="shared" si="3"/>
        <v>#DIV/0!</v>
      </c>
      <c r="E18" s="3"/>
      <c r="F18" s="1">
        <v>2</v>
      </c>
      <c r="G18" s="3">
        <f>1692.4-1668.4</f>
        <v>24</v>
      </c>
      <c r="H18" s="8">
        <f>LOG10(F18*10/G18*1000)</f>
        <v>2.9208187539523753</v>
      </c>
      <c r="J18">
        <f>F18*10/(F$13*10+(D$14*E$14+D$15*E$15+D$16*E$16+D$17*E$17)*100+(F$18+F$19+F$20)*10)</f>
        <v>1.4112729519730407E-7</v>
      </c>
    </row>
    <row r="19" spans="1:10" x14ac:dyDescent="0.2">
      <c r="A19" s="3" t="s">
        <v>14</v>
      </c>
      <c r="D19" t="e">
        <f t="shared" si="3"/>
        <v>#DIV/0!</v>
      </c>
      <c r="E19" s="3"/>
      <c r="F19" s="1">
        <v>10</v>
      </c>
      <c r="G19" s="3">
        <f>1831.8-1729.6</f>
        <v>102.20000000000005</v>
      </c>
      <c r="H19" s="8">
        <f>LOG10(F19*10/G19*1000)</f>
        <v>2.9905491042013059</v>
      </c>
      <c r="J19">
        <f t="shared" ref="J19:J20" si="6">F19*10/(F$13*10+(D$14*E$14+D$15*E$15+D$16*E$16+D$17*E$17)*100+(F$18+F$19+F$20)*10)</f>
        <v>7.0563647598652036E-7</v>
      </c>
    </row>
    <row r="20" spans="1:10" x14ac:dyDescent="0.2">
      <c r="A20" s="3" t="s">
        <v>15</v>
      </c>
      <c r="D20" t="e">
        <f t="shared" si="3"/>
        <v>#DIV/0!</v>
      </c>
      <c r="F20" s="1">
        <v>21</v>
      </c>
      <c r="G20" s="3">
        <f>2414.7-1824</f>
        <v>590.69999999999982</v>
      </c>
      <c r="H20" s="8">
        <f>LOG10(F20*10/G20*1000)</f>
        <v>2.5508523238761387</v>
      </c>
      <c r="J20">
        <f t="shared" si="6"/>
        <v>1.4818365995716929E-6</v>
      </c>
    </row>
    <row r="21" spans="1:10" x14ac:dyDescent="0.2">
      <c r="A21" s="3" t="s">
        <v>19</v>
      </c>
      <c r="D21" t="e">
        <f t="shared" si="3"/>
        <v>#DIV/0!</v>
      </c>
      <c r="E21" s="3"/>
      <c r="F21" s="1">
        <v>0</v>
      </c>
      <c r="G21" s="3">
        <f>1881.7-1722.3</f>
        <v>159.40000000000009</v>
      </c>
      <c r="H21" s="8" t="e">
        <f t="shared" si="4"/>
        <v>#DIV/0!</v>
      </c>
      <c r="J21">
        <v>0</v>
      </c>
    </row>
    <row r="22" spans="1:10" x14ac:dyDescent="0.2">
      <c r="A22" s="3"/>
      <c r="G22" s="3"/>
      <c r="H22" s="8"/>
    </row>
    <row r="23" spans="1:10" ht="51" x14ac:dyDescent="0.2">
      <c r="A23" s="2" t="s">
        <v>24</v>
      </c>
      <c r="B23" s="25" t="s">
        <v>0</v>
      </c>
      <c r="C23" s="25"/>
      <c r="D23" s="4" t="s">
        <v>1</v>
      </c>
      <c r="E23" s="4" t="s">
        <v>2</v>
      </c>
      <c r="F23" s="4" t="s">
        <v>33</v>
      </c>
      <c r="G23" s="4" t="s">
        <v>17</v>
      </c>
      <c r="H23" s="7" t="s">
        <v>18</v>
      </c>
    </row>
    <row r="24" spans="1:10" x14ac:dyDescent="0.2">
      <c r="A24" s="3" t="s">
        <v>9</v>
      </c>
      <c r="D24" t="e">
        <f>AVERAGE(B24:C24)</f>
        <v>#DIV/0!</v>
      </c>
      <c r="E24" s="3"/>
      <c r="F24" s="1">
        <v>29</v>
      </c>
      <c r="G24" s="3">
        <f>2240.8-1874.3</f>
        <v>366.50000000000023</v>
      </c>
      <c r="H24" s="8">
        <f>LOG10(F24*10/G24*1000)</f>
        <v>2.8983240189218091</v>
      </c>
      <c r="J24">
        <f>(F24*10)/((F$24+F$27)*10+(D$25*E$25+D$26*E$26+D$28*E$28)*100)</f>
        <v>1.1680360882874174E-3</v>
      </c>
    </row>
    <row r="25" spans="1:10" x14ac:dyDescent="0.2">
      <c r="A25" s="3" t="s">
        <v>10</v>
      </c>
      <c r="B25">
        <v>26</v>
      </c>
      <c r="C25">
        <v>42</v>
      </c>
      <c r="D25">
        <f t="shared" ref="D25:D32" si="7">AVERAGE(B25:C25)</f>
        <v>34</v>
      </c>
      <c r="E25" s="3">
        <v>1</v>
      </c>
      <c r="G25" s="3">
        <f>2777.3-1733.1</f>
        <v>1044.2000000000003</v>
      </c>
      <c r="H25" s="8">
        <f>LOG10(D25*100*E25/G25*1000)</f>
        <v>3.5126952281675581</v>
      </c>
      <c r="J25">
        <f>(D25*E25*100)/((F$24+F$27)*10+(D$25*E$25+D$26*E$26+D$28*E$28)*100)</f>
        <v>1.3694216207507652E-2</v>
      </c>
    </row>
    <row r="26" spans="1:10" x14ac:dyDescent="0.2">
      <c r="A26" s="3" t="s">
        <v>11</v>
      </c>
      <c r="B26">
        <v>20</v>
      </c>
      <c r="C26">
        <v>27</v>
      </c>
      <c r="D26">
        <f t="shared" si="7"/>
        <v>23.5</v>
      </c>
      <c r="E26" s="3">
        <v>100</v>
      </c>
      <c r="G26" s="3">
        <f>2624.5-1793.5</f>
        <v>831</v>
      </c>
      <c r="H26" s="8">
        <f t="shared" ref="H26:H32" si="8">LOG10(D26*100*E26/G26*1000)</f>
        <v>5.451466838487625</v>
      </c>
      <c r="J26">
        <f>(D26*E26*100)/((F$24+F$27)*10+(D$25*E$25+D$26*E$26+D$28*E$28)*100)</f>
        <v>0.94651200257773482</v>
      </c>
    </row>
    <row r="27" spans="1:10" x14ac:dyDescent="0.2">
      <c r="A27" s="3" t="s">
        <v>12</v>
      </c>
      <c r="D27" t="e">
        <f t="shared" si="7"/>
        <v>#DIV/0!</v>
      </c>
      <c r="E27" s="3"/>
      <c r="F27" s="1">
        <v>9</v>
      </c>
      <c r="G27" s="3">
        <f>1991.2-1861.9</f>
        <v>129.29999999999995</v>
      </c>
      <c r="H27" s="8">
        <f>LOG10(F27*10/G27*1000)</f>
        <v>2.8426439845589311</v>
      </c>
      <c r="J27">
        <f t="shared" ref="J25:J32" si="9">(F27*10)/((F$24+F$27)*10+(D$25*E$25+D$26*E$26+D$28*E$28)*100)</f>
        <v>3.6249395843402607E-4</v>
      </c>
    </row>
    <row r="28" spans="1:10" ht="17" x14ac:dyDescent="0.2">
      <c r="A28" s="4" t="s">
        <v>13</v>
      </c>
      <c r="B28" s="6">
        <v>6</v>
      </c>
      <c r="C28" s="6">
        <v>13</v>
      </c>
      <c r="D28">
        <f t="shared" si="7"/>
        <v>9.5</v>
      </c>
      <c r="E28" s="4">
        <v>10</v>
      </c>
      <c r="F28" s="4"/>
      <c r="G28" s="4">
        <f>1925-1740.9</f>
        <v>184.09999999999991</v>
      </c>
      <c r="H28" s="8">
        <f t="shared" si="8"/>
        <v>4.7126698167848335</v>
      </c>
      <c r="J28" s="26">
        <f>(D28*E28*100)/((F$24+F$27)*10+(D$25*E$25+D$26*E$26+D$28*E$28)*100)</f>
        <v>3.826325116803609E-2</v>
      </c>
    </row>
    <row r="29" spans="1:10" x14ac:dyDescent="0.2">
      <c r="A29" s="3" t="s">
        <v>16</v>
      </c>
      <c r="B29">
        <v>0</v>
      </c>
      <c r="C29">
        <v>0</v>
      </c>
      <c r="D29">
        <f t="shared" si="7"/>
        <v>0</v>
      </c>
      <c r="E29" s="3">
        <v>1</v>
      </c>
      <c r="F29" s="1">
        <v>0</v>
      </c>
      <c r="G29" s="3">
        <f>1774.6-1730.3</f>
        <v>44.299999999999955</v>
      </c>
      <c r="H29" s="8" t="e">
        <f t="shared" si="8"/>
        <v>#NUM!</v>
      </c>
      <c r="J29">
        <f t="shared" si="9"/>
        <v>0</v>
      </c>
    </row>
    <row r="30" spans="1:10" x14ac:dyDescent="0.2">
      <c r="A30" s="3" t="s">
        <v>14</v>
      </c>
      <c r="B30">
        <v>0</v>
      </c>
      <c r="C30">
        <v>0</v>
      </c>
      <c r="D30">
        <f t="shared" si="7"/>
        <v>0</v>
      </c>
      <c r="E30" s="3">
        <v>1</v>
      </c>
      <c r="F30" s="1">
        <v>0</v>
      </c>
      <c r="G30" s="3">
        <f>1805.8-1727.7</f>
        <v>78.099999999999909</v>
      </c>
      <c r="H30" s="8" t="e">
        <f t="shared" si="8"/>
        <v>#NUM!</v>
      </c>
      <c r="J30">
        <f t="shared" si="9"/>
        <v>0</v>
      </c>
    </row>
    <row r="31" spans="1:10" x14ac:dyDescent="0.2">
      <c r="A31" s="3" t="s">
        <v>15</v>
      </c>
      <c r="B31">
        <v>0</v>
      </c>
      <c r="C31">
        <v>0</v>
      </c>
      <c r="D31">
        <f t="shared" si="7"/>
        <v>0</v>
      </c>
      <c r="E31" s="3">
        <v>1</v>
      </c>
      <c r="F31" s="1">
        <v>0</v>
      </c>
      <c r="G31" s="3">
        <f>2520.2-1736.1</f>
        <v>784.09999999999991</v>
      </c>
      <c r="H31" s="8" t="e">
        <f t="shared" si="8"/>
        <v>#NUM!</v>
      </c>
      <c r="J31">
        <f t="shared" si="9"/>
        <v>0</v>
      </c>
    </row>
    <row r="32" spans="1:10" x14ac:dyDescent="0.2">
      <c r="A32" s="3" t="s">
        <v>19</v>
      </c>
      <c r="B32">
        <v>0</v>
      </c>
      <c r="C32">
        <v>0</v>
      </c>
      <c r="D32">
        <f t="shared" si="7"/>
        <v>0</v>
      </c>
      <c r="E32" s="3">
        <v>1</v>
      </c>
      <c r="F32" s="1">
        <v>0</v>
      </c>
      <c r="G32" s="3">
        <f>1815.1-1663.9</f>
        <v>151.19999999999982</v>
      </c>
      <c r="H32" s="8" t="e">
        <f t="shared" si="8"/>
        <v>#NUM!</v>
      </c>
      <c r="J32">
        <f t="shared" si="9"/>
        <v>0</v>
      </c>
    </row>
    <row r="33" spans="1:10" x14ac:dyDescent="0.2">
      <c r="A33" s="3"/>
      <c r="G33" s="3"/>
      <c r="H33" s="8"/>
    </row>
    <row r="34" spans="1:10" ht="51" x14ac:dyDescent="0.2">
      <c r="A34" s="2" t="s">
        <v>25</v>
      </c>
      <c r="B34" s="25" t="s">
        <v>0</v>
      </c>
      <c r="C34" s="25"/>
      <c r="D34" s="4" t="s">
        <v>1</v>
      </c>
      <c r="E34" s="4" t="s">
        <v>2</v>
      </c>
      <c r="F34" s="4" t="s">
        <v>33</v>
      </c>
      <c r="G34" s="4" t="s">
        <v>17</v>
      </c>
      <c r="H34" s="7" t="s">
        <v>18</v>
      </c>
    </row>
    <row r="35" spans="1:10" x14ac:dyDescent="0.2">
      <c r="A35" s="3" t="s">
        <v>9</v>
      </c>
      <c r="D35" t="e">
        <f>AVERAGE(B35:C35)</f>
        <v>#DIV/0!</v>
      </c>
      <c r="E35" s="3"/>
      <c r="F35" s="1">
        <v>26</v>
      </c>
      <c r="G35" s="3">
        <f>2214.8-1746.2</f>
        <v>468.60000000000014</v>
      </c>
      <c r="H35" s="8">
        <f>LOG10(F35*10/G35*1000)</f>
        <v>2.744171063709874</v>
      </c>
      <c r="J35">
        <f>(F35*10)/((D$36*E$36+D$37*E$37+D$38*E$38+D$39*E$39+D$42*E$42)*100+F$35*10)</f>
        <v>6.0896832334156848E-6</v>
      </c>
    </row>
    <row r="36" spans="1:10" x14ac:dyDescent="0.2">
      <c r="A36" s="3" t="s">
        <v>10</v>
      </c>
      <c r="B36">
        <v>38</v>
      </c>
      <c r="C36">
        <v>49</v>
      </c>
      <c r="D36">
        <f t="shared" ref="D36:D43" si="10">AVERAGE(B36:C36)</f>
        <v>43.5</v>
      </c>
      <c r="E36" s="3">
        <v>1000</v>
      </c>
      <c r="G36" s="3">
        <f>3132.1-1793.4</f>
        <v>1338.6999999999998</v>
      </c>
      <c r="H36" s="8">
        <f>LOG10(D36*100*E36/G36*1000)</f>
        <v>6.5118059935663473</v>
      </c>
      <c r="J36">
        <f>(D36*E36*100)/((D$36*E$36+D$37*E$37+D$38*E$38+D$39*E$39+D$42*E$42)*100+F$35*10)</f>
        <v>0.10188508486676241</v>
      </c>
    </row>
    <row r="37" spans="1:10" x14ac:dyDescent="0.2">
      <c r="A37" s="3" t="s">
        <v>11</v>
      </c>
      <c r="B37">
        <v>38</v>
      </c>
      <c r="C37">
        <v>32</v>
      </c>
      <c r="D37">
        <f t="shared" si="10"/>
        <v>35</v>
      </c>
      <c r="E37" s="3">
        <v>10000</v>
      </c>
      <c r="G37" s="3">
        <f>3013.3-1735.8</f>
        <v>1277.5000000000002</v>
      </c>
      <c r="H37" s="8">
        <f t="shared" ref="H37:H43" si="11">LOG10(D37*100*E37/G37*1000)</f>
        <v>7.4377071355435254</v>
      </c>
      <c r="J37">
        <f t="shared" ref="J37:J43" si="12">(D37*E37*100)/((D$36*E$36+D$37*E$37+D$38*E$38+D$39*E$39+D$42*E$42)*100+F$35*10)</f>
        <v>0.81976505065211136</v>
      </c>
    </row>
    <row r="38" spans="1:10" x14ac:dyDescent="0.2">
      <c r="A38" s="3" t="s">
        <v>12</v>
      </c>
      <c r="B38">
        <v>40</v>
      </c>
      <c r="C38">
        <v>47</v>
      </c>
      <c r="D38">
        <f t="shared" si="10"/>
        <v>43.5</v>
      </c>
      <c r="E38" s="3">
        <v>10</v>
      </c>
      <c r="G38" s="3">
        <f>1761.2-1655.5</f>
        <v>105.70000000000005</v>
      </c>
      <c r="H38" s="8">
        <f t="shared" si="11"/>
        <v>5.6144142696472112</v>
      </c>
      <c r="J38">
        <f t="shared" si="12"/>
        <v>1.0188508486676242E-3</v>
      </c>
    </row>
    <row r="39" spans="1:10" ht="17" x14ac:dyDescent="0.2">
      <c r="A39" s="4" t="s">
        <v>13</v>
      </c>
      <c r="B39" s="6">
        <v>30</v>
      </c>
      <c r="C39" s="6">
        <v>36</v>
      </c>
      <c r="D39">
        <f t="shared" si="10"/>
        <v>33</v>
      </c>
      <c r="E39" s="4">
        <v>1000</v>
      </c>
      <c r="F39" s="4"/>
      <c r="G39" s="4">
        <f>1857.9-1731.6</f>
        <v>126.30000000000018</v>
      </c>
      <c r="H39" s="8">
        <f t="shared" si="11"/>
        <v>7.4171105893225562</v>
      </c>
      <c r="J39" s="26">
        <f t="shared" si="12"/>
        <v>7.7292133347199074E-2</v>
      </c>
    </row>
    <row r="40" spans="1:10" x14ac:dyDescent="0.2">
      <c r="A40" s="3" t="s">
        <v>16</v>
      </c>
      <c r="B40">
        <v>0</v>
      </c>
      <c r="C40">
        <v>0</v>
      </c>
      <c r="D40">
        <f t="shared" si="10"/>
        <v>0</v>
      </c>
      <c r="E40" s="3">
        <v>1</v>
      </c>
      <c r="F40" s="1">
        <v>0</v>
      </c>
      <c r="G40" s="3">
        <f>1764.5-1737.6</f>
        <v>26.900000000000091</v>
      </c>
      <c r="H40" s="8" t="e">
        <f t="shared" si="11"/>
        <v>#NUM!</v>
      </c>
      <c r="J40">
        <f t="shared" si="12"/>
        <v>0</v>
      </c>
    </row>
    <row r="41" spans="1:10" x14ac:dyDescent="0.2">
      <c r="A41" s="3" t="s">
        <v>14</v>
      </c>
      <c r="B41">
        <v>0</v>
      </c>
      <c r="C41">
        <v>0</v>
      </c>
      <c r="D41">
        <f t="shared" si="10"/>
        <v>0</v>
      </c>
      <c r="E41" s="3">
        <v>1</v>
      </c>
      <c r="F41" s="1">
        <v>0</v>
      </c>
      <c r="G41" s="3">
        <f>1886.2-1806.6</f>
        <v>79.600000000000136</v>
      </c>
      <c r="H41" s="8" t="e">
        <f t="shared" si="11"/>
        <v>#NUM!</v>
      </c>
      <c r="J41">
        <f t="shared" si="12"/>
        <v>0</v>
      </c>
    </row>
    <row r="42" spans="1:10" x14ac:dyDescent="0.2">
      <c r="A42" s="3" t="s">
        <v>15</v>
      </c>
      <c r="B42">
        <v>11</v>
      </c>
      <c r="C42">
        <v>17</v>
      </c>
      <c r="D42">
        <f t="shared" si="10"/>
        <v>14</v>
      </c>
      <c r="E42" s="3">
        <v>1</v>
      </c>
      <c r="G42" s="3">
        <f>2578.3-1871.9</f>
        <v>706.40000000000009</v>
      </c>
      <c r="H42" s="8">
        <f t="shared" si="11"/>
        <v>3.2970773451087259</v>
      </c>
      <c r="J42">
        <f t="shared" si="12"/>
        <v>3.2790602026084457E-5</v>
      </c>
    </row>
    <row r="43" spans="1:10" x14ac:dyDescent="0.2">
      <c r="A43" s="3" t="s">
        <v>19</v>
      </c>
      <c r="B43">
        <v>0</v>
      </c>
      <c r="C43">
        <v>0</v>
      </c>
      <c r="D43">
        <f t="shared" si="10"/>
        <v>0</v>
      </c>
      <c r="E43" s="3">
        <v>1</v>
      </c>
      <c r="F43" s="1">
        <v>0</v>
      </c>
      <c r="G43" s="3">
        <f>1929.8-1805.8</f>
        <v>124</v>
      </c>
      <c r="H43" s="8" t="e">
        <f t="shared" si="11"/>
        <v>#NUM!</v>
      </c>
      <c r="J43">
        <f t="shared" si="12"/>
        <v>0</v>
      </c>
    </row>
    <row r="45" spans="1:10" ht="51" x14ac:dyDescent="0.2">
      <c r="A45" s="2" t="s">
        <v>26</v>
      </c>
      <c r="B45" s="25" t="s">
        <v>0</v>
      </c>
      <c r="C45" s="25"/>
      <c r="D45" s="4" t="s">
        <v>1</v>
      </c>
      <c r="E45" s="4" t="s">
        <v>2</v>
      </c>
      <c r="F45" s="4" t="s">
        <v>33</v>
      </c>
      <c r="G45" s="4" t="s">
        <v>17</v>
      </c>
      <c r="H45" s="7" t="s">
        <v>18</v>
      </c>
    </row>
    <row r="46" spans="1:10" x14ac:dyDescent="0.2">
      <c r="A46" s="3" t="s">
        <v>9</v>
      </c>
      <c r="B46">
        <v>15</v>
      </c>
      <c r="C46">
        <v>12</v>
      </c>
      <c r="D46">
        <f>AVERAGE(B46:C46)</f>
        <v>13.5</v>
      </c>
      <c r="E46" s="3">
        <v>10</v>
      </c>
      <c r="G46" s="3">
        <f>2153.4-1794.9</f>
        <v>358.5</v>
      </c>
      <c r="H46" s="8">
        <f>LOG10(D46*100*E46/G46*1000)</f>
        <v>4.5758446084911872</v>
      </c>
    </row>
    <row r="47" spans="1:10" x14ac:dyDescent="0.2">
      <c r="A47" s="3" t="s">
        <v>10</v>
      </c>
      <c r="B47">
        <v>17</v>
      </c>
      <c r="C47">
        <v>20</v>
      </c>
      <c r="D47">
        <f t="shared" ref="D47:D54" si="13">AVERAGE(B47:C47)</f>
        <v>18.5</v>
      </c>
      <c r="E47" s="3">
        <v>100</v>
      </c>
      <c r="G47" s="3">
        <f>2921.9-1741.7</f>
        <v>1180.2</v>
      </c>
      <c r="H47" s="8">
        <f>LOG10(D47*100*E47/G47*1000)</f>
        <v>5.1952161181000331</v>
      </c>
    </row>
    <row r="48" spans="1:10" x14ac:dyDescent="0.2">
      <c r="A48" s="3" t="s">
        <v>11</v>
      </c>
      <c r="B48">
        <v>29</v>
      </c>
      <c r="C48">
        <v>33</v>
      </c>
      <c r="D48">
        <f t="shared" si="13"/>
        <v>31</v>
      </c>
      <c r="E48" s="3">
        <v>100000</v>
      </c>
      <c r="G48" s="3">
        <f>2457.8-1655.7</f>
        <v>802.10000000000014</v>
      </c>
      <c r="H48" s="8">
        <f t="shared" ref="H48:H54" si="14">LOG10(D48*100*E48/G48*1000)</f>
        <v>8.5871331774941932</v>
      </c>
    </row>
    <row r="49" spans="1:8" x14ac:dyDescent="0.2">
      <c r="A49" s="3" t="s">
        <v>12</v>
      </c>
      <c r="B49">
        <v>25</v>
      </c>
      <c r="C49">
        <v>26</v>
      </c>
      <c r="D49">
        <f t="shared" si="13"/>
        <v>25.5</v>
      </c>
      <c r="E49" s="3">
        <v>1000</v>
      </c>
      <c r="G49" s="3">
        <f>1754.2-1654.3</f>
        <v>99.900000000000091</v>
      </c>
      <c r="H49" s="8">
        <f t="shared" si="14"/>
        <v>7.4069746922079727</v>
      </c>
    </row>
    <row r="50" spans="1:8" ht="17" x14ac:dyDescent="0.2">
      <c r="A50" s="4" t="s">
        <v>13</v>
      </c>
      <c r="B50" s="6">
        <v>30</v>
      </c>
      <c r="C50" s="6">
        <v>19</v>
      </c>
      <c r="D50">
        <f t="shared" si="13"/>
        <v>24.5</v>
      </c>
      <c r="E50" s="4">
        <v>10000</v>
      </c>
      <c r="F50" s="4"/>
      <c r="G50" s="4">
        <f>1827.9-1721.3</f>
        <v>106.60000000000014</v>
      </c>
      <c r="H50" s="8">
        <f t="shared" si="14"/>
        <v>8.3614088796739789</v>
      </c>
    </row>
    <row r="51" spans="1:8" x14ac:dyDescent="0.2">
      <c r="A51" s="3" t="s">
        <v>16</v>
      </c>
      <c r="B51">
        <v>0</v>
      </c>
      <c r="C51">
        <v>0</v>
      </c>
      <c r="D51">
        <f t="shared" si="13"/>
        <v>0</v>
      </c>
      <c r="E51" s="3">
        <v>1</v>
      </c>
      <c r="F51" s="1">
        <v>0</v>
      </c>
      <c r="G51" s="3">
        <f>1795.2-1727.2</f>
        <v>68</v>
      </c>
      <c r="H51" s="8" t="e">
        <f t="shared" si="14"/>
        <v>#NUM!</v>
      </c>
    </row>
    <row r="52" spans="1:8" x14ac:dyDescent="0.2">
      <c r="A52" s="3" t="s">
        <v>14</v>
      </c>
      <c r="B52">
        <v>0</v>
      </c>
      <c r="C52">
        <v>0</v>
      </c>
      <c r="D52">
        <f t="shared" si="13"/>
        <v>0</v>
      </c>
      <c r="E52" s="3">
        <v>1</v>
      </c>
      <c r="F52" s="1">
        <v>0</v>
      </c>
      <c r="G52" s="3">
        <f>1827.9-1721.3</f>
        <v>106.60000000000014</v>
      </c>
      <c r="H52" s="8" t="e">
        <f t="shared" si="14"/>
        <v>#NUM!</v>
      </c>
    </row>
    <row r="53" spans="1:8" x14ac:dyDescent="0.2">
      <c r="A53" s="3" t="s">
        <v>15</v>
      </c>
      <c r="B53">
        <v>0</v>
      </c>
      <c r="C53">
        <v>0</v>
      </c>
      <c r="D53">
        <f t="shared" si="13"/>
        <v>0</v>
      </c>
      <c r="E53" s="3">
        <v>1</v>
      </c>
      <c r="F53" s="1">
        <v>1</v>
      </c>
      <c r="G53" s="3">
        <f>2432-1818.7</f>
        <v>613.29999999999995</v>
      </c>
      <c r="H53" s="8">
        <f>LOG10(F53*10/G53*1000)</f>
        <v>1.2123270353125071</v>
      </c>
    </row>
    <row r="54" spans="1:8" x14ac:dyDescent="0.2">
      <c r="A54" s="3" t="s">
        <v>19</v>
      </c>
      <c r="B54">
        <v>0</v>
      </c>
      <c r="C54">
        <v>0</v>
      </c>
      <c r="D54">
        <f t="shared" si="13"/>
        <v>0</v>
      </c>
      <c r="E54" s="3">
        <v>1</v>
      </c>
      <c r="F54" s="1">
        <v>0</v>
      </c>
      <c r="G54" s="3">
        <f>1889-1727.6</f>
        <v>161.40000000000009</v>
      </c>
      <c r="H54" s="8" t="e">
        <f t="shared" si="14"/>
        <v>#NUM!</v>
      </c>
    </row>
  </sheetData>
  <mergeCells count="5">
    <mergeCell ref="B1:C1"/>
    <mergeCell ref="B12:C12"/>
    <mergeCell ref="B23:C23"/>
    <mergeCell ref="B34:C34"/>
    <mergeCell ref="B45:C4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1DB0-A8AA-EA40-95D9-9FFAC3994CA9}">
  <dimension ref="A1:H54"/>
  <sheetViews>
    <sheetView topLeftCell="A28" workbookViewId="0">
      <selection activeCell="H52" sqref="H52"/>
    </sheetView>
  </sheetViews>
  <sheetFormatPr baseColWidth="10" defaultRowHeight="16" x14ac:dyDescent="0.2"/>
  <cols>
    <col min="1" max="1" width="19" customWidth="1"/>
    <col min="6" max="6" width="10.83203125" style="3"/>
  </cols>
  <sheetData>
    <row r="1" spans="1:8" ht="51" x14ac:dyDescent="0.2">
      <c r="A1" s="2" t="s">
        <v>27</v>
      </c>
      <c r="B1" s="25" t="s">
        <v>0</v>
      </c>
      <c r="C1" s="25"/>
      <c r="D1" s="4" t="s">
        <v>1</v>
      </c>
      <c r="E1" s="4" t="s">
        <v>2</v>
      </c>
      <c r="F1" s="4" t="s">
        <v>33</v>
      </c>
      <c r="G1" s="4" t="s">
        <v>17</v>
      </c>
      <c r="H1" s="7" t="s">
        <v>18</v>
      </c>
    </row>
    <row r="2" spans="1:8" x14ac:dyDescent="0.2">
      <c r="A2" s="3" t="s">
        <v>9</v>
      </c>
      <c r="B2">
        <v>47</v>
      </c>
      <c r="C2">
        <v>40</v>
      </c>
      <c r="D2">
        <f>AVERAGE(B2:C2)</f>
        <v>43.5</v>
      </c>
      <c r="E2" s="3">
        <v>10</v>
      </c>
      <c r="G2" s="3">
        <f>2595.6-1783.7</f>
        <v>811.89999999999986</v>
      </c>
      <c r="H2" s="8">
        <f>LOG10(D2*100*E2/G2*1000)</f>
        <v>4.7289867155492216</v>
      </c>
    </row>
    <row r="3" spans="1:8" x14ac:dyDescent="0.2">
      <c r="A3" s="3" t="s">
        <v>10</v>
      </c>
      <c r="B3">
        <v>21</v>
      </c>
      <c r="C3">
        <v>14</v>
      </c>
      <c r="D3">
        <f t="shared" ref="D3:D9" si="0">AVERAGE(B3:C3)</f>
        <v>17.5</v>
      </c>
      <c r="E3" s="3">
        <v>1000</v>
      </c>
      <c r="G3" s="3">
        <f>3854.8-1723.2</f>
        <v>2131.6000000000004</v>
      </c>
      <c r="H3" s="8">
        <f>LOG10(D3*100*E3/G3*1000)</f>
        <v>5.9143323371174201</v>
      </c>
    </row>
    <row r="4" spans="1:8" x14ac:dyDescent="0.2">
      <c r="A4" s="3" t="s">
        <v>11</v>
      </c>
      <c r="B4">
        <v>41</v>
      </c>
      <c r="C4">
        <v>50</v>
      </c>
      <c r="D4">
        <f t="shared" si="0"/>
        <v>45.5</v>
      </c>
      <c r="E4" s="3">
        <v>100000</v>
      </c>
      <c r="G4" s="3">
        <f>3420.2-1873.4</f>
        <v>1546.7999999999997</v>
      </c>
      <c r="H4" s="8">
        <f t="shared" ref="H4:H9" si="1">LOG10(D4*100*E4/G4*1000)</f>
        <v>8.4685772332560845</v>
      </c>
    </row>
    <row r="5" spans="1:8" x14ac:dyDescent="0.2">
      <c r="A5" s="3" t="s">
        <v>12</v>
      </c>
      <c r="B5">
        <v>9</v>
      </c>
      <c r="C5">
        <v>9</v>
      </c>
      <c r="D5">
        <f t="shared" si="0"/>
        <v>9</v>
      </c>
      <c r="E5" s="3">
        <v>1000</v>
      </c>
      <c r="G5" s="3">
        <f>1944.5-1813.2</f>
        <v>131.29999999999995</v>
      </c>
      <c r="H5" s="8">
        <f t="shared" si="1"/>
        <v>6.8359777833498461</v>
      </c>
    </row>
    <row r="6" spans="1:8" ht="17" x14ac:dyDescent="0.2">
      <c r="A6" s="4" t="s">
        <v>13</v>
      </c>
      <c r="B6" s="6">
        <v>64</v>
      </c>
      <c r="C6" s="6">
        <v>64</v>
      </c>
      <c r="D6">
        <f t="shared" si="0"/>
        <v>64</v>
      </c>
      <c r="E6" s="4">
        <v>1000</v>
      </c>
      <c r="F6" s="4"/>
      <c r="G6" s="4">
        <f>2022.3-1799.1</f>
        <v>223.20000000000005</v>
      </c>
      <c r="H6" s="8">
        <f t="shared" si="1"/>
        <v>7.4574857837183464</v>
      </c>
    </row>
    <row r="7" spans="1:8" x14ac:dyDescent="0.2">
      <c r="A7" s="3" t="s">
        <v>16</v>
      </c>
      <c r="B7">
        <v>0</v>
      </c>
      <c r="C7">
        <v>0</v>
      </c>
      <c r="D7">
        <f t="shared" si="0"/>
        <v>0</v>
      </c>
      <c r="E7" s="3">
        <v>1</v>
      </c>
      <c r="F7" s="3">
        <v>0</v>
      </c>
      <c r="G7" s="3">
        <f>1762.3-1719.4</f>
        <v>42.899999999999864</v>
      </c>
      <c r="H7" s="8" t="e">
        <f t="shared" si="1"/>
        <v>#NUM!</v>
      </c>
    </row>
    <row r="8" spans="1:8" x14ac:dyDescent="0.2">
      <c r="A8" s="3" t="s">
        <v>14</v>
      </c>
      <c r="B8">
        <v>0</v>
      </c>
      <c r="C8">
        <v>0</v>
      </c>
      <c r="D8">
        <f t="shared" si="0"/>
        <v>0</v>
      </c>
      <c r="E8" s="3">
        <v>1</v>
      </c>
      <c r="F8" s="3">
        <v>0</v>
      </c>
      <c r="G8" s="3">
        <f>2013.3-1955.9</f>
        <v>57.399999999999864</v>
      </c>
      <c r="H8" s="8" t="e">
        <f t="shared" si="1"/>
        <v>#NUM!</v>
      </c>
    </row>
    <row r="9" spans="1:8" x14ac:dyDescent="0.2">
      <c r="A9" s="3" t="s">
        <v>15</v>
      </c>
      <c r="B9">
        <v>0</v>
      </c>
      <c r="C9">
        <v>0</v>
      </c>
      <c r="D9">
        <f t="shared" si="0"/>
        <v>0</v>
      </c>
      <c r="E9" s="3">
        <v>1</v>
      </c>
      <c r="F9" s="3">
        <v>0</v>
      </c>
      <c r="G9" s="3">
        <f>2418.1-1731.5</f>
        <v>686.59999999999991</v>
      </c>
      <c r="H9" s="8" t="e">
        <f t="shared" si="1"/>
        <v>#NUM!</v>
      </c>
    </row>
    <row r="10" spans="1:8" x14ac:dyDescent="0.2">
      <c r="A10" s="3" t="s">
        <v>19</v>
      </c>
      <c r="B10">
        <v>0</v>
      </c>
      <c r="C10">
        <v>0</v>
      </c>
      <c r="D10">
        <f>AVERAGE(B10:C10)</f>
        <v>0</v>
      </c>
      <c r="E10" s="3">
        <v>1</v>
      </c>
      <c r="F10" s="3">
        <v>1</v>
      </c>
      <c r="G10" s="3">
        <f>1869.5-1727.4</f>
        <v>142.09999999999991</v>
      </c>
      <c r="H10" s="8">
        <f>LOG10(F10*10/G10*1000)</f>
        <v>1.8474059220725305</v>
      </c>
    </row>
    <row r="11" spans="1:8" x14ac:dyDescent="0.2">
      <c r="E11" s="3"/>
      <c r="G11" s="3"/>
      <c r="H11" s="8"/>
    </row>
    <row r="12" spans="1:8" ht="51" x14ac:dyDescent="0.2">
      <c r="A12" s="2" t="s">
        <v>28</v>
      </c>
      <c r="B12" s="25" t="s">
        <v>0</v>
      </c>
      <c r="C12" s="25"/>
      <c r="D12" s="4" t="s">
        <v>1</v>
      </c>
      <c r="E12" s="4" t="s">
        <v>2</v>
      </c>
      <c r="F12" s="4" t="s">
        <v>33</v>
      </c>
      <c r="G12" s="4" t="s">
        <v>17</v>
      </c>
      <c r="H12" s="7" t="s">
        <v>18</v>
      </c>
    </row>
    <row r="13" spans="1:8" x14ac:dyDescent="0.2">
      <c r="A13" s="3" t="s">
        <v>9</v>
      </c>
      <c r="B13">
        <v>41</v>
      </c>
      <c r="C13">
        <v>41</v>
      </c>
      <c r="D13">
        <f>AVERAGE(B13:C13)</f>
        <v>41</v>
      </c>
      <c r="E13" s="3">
        <v>1000</v>
      </c>
      <c r="G13" s="3">
        <f>2481.9-1791.7</f>
        <v>690.2</v>
      </c>
      <c r="H13" s="8">
        <f>LOG10(D13*100*E13/G13*1000)</f>
        <v>6.7738089017642675</v>
      </c>
    </row>
    <row r="14" spans="1:8" x14ac:dyDescent="0.2">
      <c r="A14" s="3" t="s">
        <v>10</v>
      </c>
      <c r="B14">
        <v>22</v>
      </c>
      <c r="C14">
        <v>29</v>
      </c>
      <c r="D14">
        <f t="shared" ref="D14:D21" si="2">AVERAGE(B14:C14)</f>
        <v>25.5</v>
      </c>
      <c r="E14" s="3">
        <v>1000</v>
      </c>
      <c r="G14" s="3">
        <f>3679.1-1796.4</f>
        <v>1882.6999999999998</v>
      </c>
      <c r="H14" s="8">
        <f>LOG10(D14*100*E14/G14*1000)</f>
        <v>6.1317590578280488</v>
      </c>
    </row>
    <row r="15" spans="1:8" x14ac:dyDescent="0.2">
      <c r="A15" s="3" t="s">
        <v>11</v>
      </c>
      <c r="B15">
        <v>21</v>
      </c>
      <c r="C15">
        <v>21</v>
      </c>
      <c r="D15">
        <f t="shared" si="2"/>
        <v>21</v>
      </c>
      <c r="E15" s="3">
        <v>100000</v>
      </c>
      <c r="G15" s="3">
        <f>3168.2-1816</f>
        <v>1352.1999999999998</v>
      </c>
      <c r="H15" s="8">
        <f t="shared" ref="H15:H20" si="3">LOG10(D15*100*E15/G15*1000)</f>
        <v>8.1911783631338206</v>
      </c>
    </row>
    <row r="16" spans="1:8" x14ac:dyDescent="0.2">
      <c r="A16" s="3" t="s">
        <v>12</v>
      </c>
      <c r="B16">
        <v>23</v>
      </c>
      <c r="C16">
        <v>16</v>
      </c>
      <c r="D16">
        <f t="shared" si="2"/>
        <v>19.5</v>
      </c>
      <c r="E16" s="3">
        <v>1000</v>
      </c>
      <c r="G16" s="3">
        <f>1863.3-1732.6</f>
        <v>130.70000000000005</v>
      </c>
      <c r="H16" s="8">
        <f t="shared" si="3"/>
        <v>7.1737590237819733</v>
      </c>
    </row>
    <row r="17" spans="1:8" ht="17" x14ac:dyDescent="0.2">
      <c r="A17" s="4" t="s">
        <v>13</v>
      </c>
      <c r="B17" s="6">
        <v>46</v>
      </c>
      <c r="C17" s="6">
        <v>36</v>
      </c>
      <c r="D17">
        <f t="shared" si="2"/>
        <v>41</v>
      </c>
      <c r="E17" s="4">
        <v>10000</v>
      </c>
      <c r="F17" s="4"/>
      <c r="G17" s="4">
        <f>1942.3-1710</f>
        <v>232.29999999999995</v>
      </c>
      <c r="H17" s="8">
        <f t="shared" si="3"/>
        <v>8.2467346469194993</v>
      </c>
    </row>
    <row r="18" spans="1:8" x14ac:dyDescent="0.2">
      <c r="A18" s="3" t="s">
        <v>16</v>
      </c>
      <c r="B18">
        <v>0</v>
      </c>
      <c r="C18">
        <v>0</v>
      </c>
      <c r="D18">
        <f t="shared" si="2"/>
        <v>0</v>
      </c>
      <c r="E18" s="3">
        <v>1</v>
      </c>
      <c r="F18" s="3">
        <v>0</v>
      </c>
      <c r="G18" s="3">
        <f>1826-1707.3</f>
        <v>118.70000000000005</v>
      </c>
      <c r="H18" s="8" t="e">
        <f t="shared" si="3"/>
        <v>#NUM!</v>
      </c>
    </row>
    <row r="19" spans="1:8" x14ac:dyDescent="0.2">
      <c r="A19" s="3" t="s">
        <v>14</v>
      </c>
      <c r="B19">
        <v>0</v>
      </c>
      <c r="C19">
        <v>0</v>
      </c>
      <c r="D19">
        <f t="shared" si="2"/>
        <v>0</v>
      </c>
      <c r="E19" s="3">
        <v>1</v>
      </c>
      <c r="F19" s="3">
        <v>0</v>
      </c>
      <c r="G19" s="3">
        <f>1798.7-1720.8</f>
        <v>77.900000000000091</v>
      </c>
      <c r="H19" s="8" t="e">
        <f t="shared" si="3"/>
        <v>#NUM!</v>
      </c>
    </row>
    <row r="20" spans="1:8" x14ac:dyDescent="0.2">
      <c r="A20" s="3" t="s">
        <v>15</v>
      </c>
      <c r="B20">
        <v>0</v>
      </c>
      <c r="C20">
        <v>0</v>
      </c>
      <c r="D20">
        <f t="shared" si="2"/>
        <v>0</v>
      </c>
      <c r="E20" s="3">
        <v>1</v>
      </c>
      <c r="F20" s="3">
        <v>0</v>
      </c>
      <c r="G20" s="3">
        <f>2535.2-1728</f>
        <v>807.19999999999982</v>
      </c>
      <c r="H20" s="8" t="e">
        <f t="shared" si="3"/>
        <v>#NUM!</v>
      </c>
    </row>
    <row r="21" spans="1:8" x14ac:dyDescent="0.2">
      <c r="A21" s="3" t="s">
        <v>19</v>
      </c>
      <c r="D21" t="e">
        <f t="shared" si="2"/>
        <v>#DIV/0!</v>
      </c>
      <c r="E21" s="3"/>
      <c r="F21" s="3">
        <v>62</v>
      </c>
      <c r="G21" s="3">
        <f>1880.1-1721.4</f>
        <v>158.69999999999982</v>
      </c>
      <c r="H21" s="8">
        <f>LOG10(F21*10/G21*1000)</f>
        <v>3.5918147627434061</v>
      </c>
    </row>
    <row r="22" spans="1:8" x14ac:dyDescent="0.2">
      <c r="A22" s="3"/>
      <c r="G22" s="3"/>
      <c r="H22" s="8"/>
    </row>
    <row r="23" spans="1:8" ht="51" x14ac:dyDescent="0.2">
      <c r="A23" s="2" t="s">
        <v>29</v>
      </c>
      <c r="B23" s="25" t="s">
        <v>0</v>
      </c>
      <c r="C23" s="25"/>
      <c r="D23" s="4" t="s">
        <v>1</v>
      </c>
      <c r="E23" s="4" t="s">
        <v>2</v>
      </c>
      <c r="F23" s="4" t="s">
        <v>33</v>
      </c>
      <c r="G23" s="4" t="s">
        <v>17</v>
      </c>
      <c r="H23" s="7" t="s">
        <v>18</v>
      </c>
    </row>
    <row r="24" spans="1:8" x14ac:dyDescent="0.2">
      <c r="A24" s="3" t="s">
        <v>9</v>
      </c>
      <c r="B24">
        <v>42</v>
      </c>
      <c r="C24">
        <v>51</v>
      </c>
      <c r="D24">
        <f>AVERAGE(B24:C24)</f>
        <v>46.5</v>
      </c>
      <c r="E24" s="3">
        <v>1000</v>
      </c>
      <c r="G24" s="3">
        <f>2263.9-1723.4</f>
        <v>540.5</v>
      </c>
      <c r="H24" s="8">
        <f>LOG10(D24*100*E24/G24*1000)</f>
        <v>6.9346572546006247</v>
      </c>
    </row>
    <row r="25" spans="1:8" x14ac:dyDescent="0.2">
      <c r="A25" s="3" t="s">
        <v>10</v>
      </c>
      <c r="B25">
        <v>35</v>
      </c>
      <c r="C25">
        <v>40</v>
      </c>
      <c r="D25">
        <f t="shared" ref="D25:D32" si="4">AVERAGE(B25:C25)</f>
        <v>37.5</v>
      </c>
      <c r="E25" s="3">
        <v>1000</v>
      </c>
      <c r="G25" s="3">
        <f>3363.2-1869.8</f>
        <v>1493.3999999999999</v>
      </c>
      <c r="H25" s="8">
        <f>LOG10(D25*100*E25/G25*1000)</f>
        <v>6.3998551207354817</v>
      </c>
    </row>
    <row r="26" spans="1:8" x14ac:dyDescent="0.2">
      <c r="A26" s="3" t="s">
        <v>11</v>
      </c>
      <c r="B26">
        <v>30</v>
      </c>
      <c r="C26">
        <v>36</v>
      </c>
      <c r="D26">
        <f t="shared" si="4"/>
        <v>33</v>
      </c>
      <c r="E26" s="3">
        <v>100000</v>
      </c>
      <c r="G26" s="3">
        <f>3217.1-1888.2</f>
        <v>1328.8999999999999</v>
      </c>
      <c r="H26" s="8">
        <f t="shared" ref="H26:H29" si="5">LOG10(D26*100*E26/G26*1000)</f>
        <v>8.3950216384552352</v>
      </c>
    </row>
    <row r="27" spans="1:8" x14ac:dyDescent="0.2">
      <c r="A27" s="3" t="s">
        <v>12</v>
      </c>
      <c r="B27">
        <v>63</v>
      </c>
      <c r="C27">
        <v>53</v>
      </c>
      <c r="D27">
        <f t="shared" si="4"/>
        <v>58</v>
      </c>
      <c r="E27" s="3">
        <v>100</v>
      </c>
      <c r="G27" s="3">
        <f>1916.4-1796.5</f>
        <v>119.90000000000009</v>
      </c>
      <c r="H27" s="8">
        <f t="shared" si="5"/>
        <v>6.6846088104640886</v>
      </c>
    </row>
    <row r="28" spans="1:8" ht="17" x14ac:dyDescent="0.2">
      <c r="A28" s="4" t="s">
        <v>13</v>
      </c>
      <c r="B28" s="6">
        <v>48</v>
      </c>
      <c r="C28" s="6">
        <v>52</v>
      </c>
      <c r="D28">
        <f t="shared" si="4"/>
        <v>50</v>
      </c>
      <c r="E28" s="4">
        <v>10000</v>
      </c>
      <c r="F28" s="4"/>
      <c r="G28" s="4">
        <f>1839.7-1648.8</f>
        <v>190.90000000000009</v>
      </c>
      <c r="H28" s="8">
        <f t="shared" si="5"/>
        <v>8.4181640759423519</v>
      </c>
    </row>
    <row r="29" spans="1:8" x14ac:dyDescent="0.2">
      <c r="A29" s="3" t="s">
        <v>16</v>
      </c>
      <c r="B29">
        <v>0</v>
      </c>
      <c r="C29">
        <v>0</v>
      </c>
      <c r="D29">
        <f t="shared" si="4"/>
        <v>0</v>
      </c>
      <c r="E29" s="3">
        <v>1</v>
      </c>
      <c r="F29" s="3">
        <v>0</v>
      </c>
      <c r="G29" s="3">
        <f>1750-1712</f>
        <v>38</v>
      </c>
      <c r="H29" s="8" t="e">
        <f t="shared" si="5"/>
        <v>#NUM!</v>
      </c>
    </row>
    <row r="30" spans="1:8" x14ac:dyDescent="0.2">
      <c r="A30" s="3" t="s">
        <v>14</v>
      </c>
      <c r="D30" t="e">
        <f t="shared" si="4"/>
        <v>#DIV/0!</v>
      </c>
      <c r="E30" s="3"/>
      <c r="F30" s="3">
        <v>1</v>
      </c>
      <c r="G30" s="3">
        <f>2143.4-2089.8</f>
        <v>53.599999999999909</v>
      </c>
      <c r="H30" s="8">
        <f>LOG10(F30*10/G30*1000)</f>
        <v>2.2708352103072307</v>
      </c>
    </row>
    <row r="31" spans="1:8" x14ac:dyDescent="0.2">
      <c r="A31" s="3" t="s">
        <v>15</v>
      </c>
      <c r="D31" t="e">
        <f t="shared" si="4"/>
        <v>#DIV/0!</v>
      </c>
      <c r="E31" s="3"/>
      <c r="F31" s="3">
        <v>8</v>
      </c>
      <c r="G31" s="3">
        <f>2353-1724.5</f>
        <v>628.5</v>
      </c>
      <c r="H31" s="8">
        <f t="shared" ref="H31:H32" si="6">LOG10(F31*10/G31*1000)</f>
        <v>2.1047847049699668</v>
      </c>
    </row>
    <row r="32" spans="1:8" x14ac:dyDescent="0.2">
      <c r="A32" s="3" t="s">
        <v>19</v>
      </c>
      <c r="D32" t="e">
        <f t="shared" si="4"/>
        <v>#DIV/0!</v>
      </c>
      <c r="E32" s="3"/>
      <c r="F32" s="3">
        <v>1</v>
      </c>
      <c r="G32" s="3">
        <f>1896.5-1785.9</f>
        <v>110.59999999999991</v>
      </c>
      <c r="H32" s="8">
        <f t="shared" si="6"/>
        <v>1.9562448730313209</v>
      </c>
    </row>
    <row r="33" spans="1:8" x14ac:dyDescent="0.2">
      <c r="A33" s="3"/>
      <c r="G33" s="3"/>
      <c r="H33" s="8"/>
    </row>
    <row r="34" spans="1:8" ht="51" x14ac:dyDescent="0.2">
      <c r="A34" s="2" t="s">
        <v>30</v>
      </c>
      <c r="B34" s="25" t="s">
        <v>0</v>
      </c>
      <c r="C34" s="25"/>
      <c r="D34" s="4" t="s">
        <v>1</v>
      </c>
      <c r="E34" s="4" t="s">
        <v>2</v>
      </c>
      <c r="F34" s="4" t="s">
        <v>33</v>
      </c>
      <c r="G34" s="4" t="s">
        <v>17</v>
      </c>
      <c r="H34" s="7" t="s">
        <v>18</v>
      </c>
    </row>
    <row r="35" spans="1:8" x14ac:dyDescent="0.2">
      <c r="A35" s="3" t="s">
        <v>9</v>
      </c>
      <c r="B35">
        <v>81</v>
      </c>
      <c r="C35">
        <v>91</v>
      </c>
      <c r="D35">
        <f>AVERAGE(B35:C35)</f>
        <v>86</v>
      </c>
      <c r="E35" s="3">
        <v>100</v>
      </c>
      <c r="G35" s="3">
        <f>2282.6-1787.3</f>
        <v>495.29999999999995</v>
      </c>
      <c r="H35" s="8">
        <f>LOG10(D35*100*E35/G35*1000)</f>
        <v>6.2396301232611115</v>
      </c>
    </row>
    <row r="36" spans="1:8" x14ac:dyDescent="0.2">
      <c r="A36" s="3" t="s">
        <v>10</v>
      </c>
      <c r="B36">
        <v>45</v>
      </c>
      <c r="C36">
        <v>47</v>
      </c>
      <c r="D36">
        <f t="shared" ref="D36:D43" si="7">AVERAGE(B36:C36)</f>
        <v>46</v>
      </c>
      <c r="E36" s="3">
        <v>1000</v>
      </c>
      <c r="G36" s="3">
        <f>3537.9-1732.6</f>
        <v>1805.3000000000002</v>
      </c>
      <c r="H36" s="8">
        <f>LOG10(D36*100*E36/G36*1000)</f>
        <v>6.4062084495293794</v>
      </c>
    </row>
    <row r="37" spans="1:8" x14ac:dyDescent="0.2">
      <c r="A37" s="3" t="s">
        <v>11</v>
      </c>
      <c r="B37">
        <v>15</v>
      </c>
      <c r="C37">
        <v>17</v>
      </c>
      <c r="D37">
        <f t="shared" si="7"/>
        <v>16</v>
      </c>
      <c r="E37" s="3">
        <v>1000000</v>
      </c>
      <c r="G37" s="3">
        <f>3029.7-1787.7</f>
        <v>1241.9999999999998</v>
      </c>
      <c r="H37" s="8">
        <f t="shared" ref="H37:H43" si="8">LOG10(D37*100*E37/G37*1000)</f>
        <v>9.1099983868153629</v>
      </c>
    </row>
    <row r="38" spans="1:8" x14ac:dyDescent="0.2">
      <c r="A38" s="3" t="s">
        <v>12</v>
      </c>
      <c r="B38">
        <v>35</v>
      </c>
      <c r="C38">
        <v>40</v>
      </c>
      <c r="D38">
        <f t="shared" si="7"/>
        <v>37.5</v>
      </c>
      <c r="E38" s="3">
        <v>100</v>
      </c>
      <c r="G38" s="3">
        <f>1814.1-1719.1</f>
        <v>95</v>
      </c>
      <c r="H38" s="8">
        <f t="shared" si="8"/>
        <v>6.5963076624388712</v>
      </c>
    </row>
    <row r="39" spans="1:8" ht="17" x14ac:dyDescent="0.2">
      <c r="A39" s="4" t="s">
        <v>13</v>
      </c>
      <c r="B39" s="6">
        <v>17</v>
      </c>
      <c r="C39" s="6">
        <v>13</v>
      </c>
      <c r="D39">
        <f t="shared" si="7"/>
        <v>15</v>
      </c>
      <c r="E39" s="4">
        <v>10000</v>
      </c>
      <c r="F39" s="4"/>
      <c r="G39" s="4">
        <f>1855.8-1730.4</f>
        <v>125.39999999999986</v>
      </c>
      <c r="H39" s="8">
        <f t="shared" si="8"/>
        <v>8.0777937225609833</v>
      </c>
    </row>
    <row r="40" spans="1:8" x14ac:dyDescent="0.2">
      <c r="A40" s="3" t="s">
        <v>16</v>
      </c>
      <c r="B40">
        <v>0</v>
      </c>
      <c r="C40">
        <v>0</v>
      </c>
      <c r="D40">
        <f t="shared" si="7"/>
        <v>0</v>
      </c>
      <c r="E40" s="3">
        <v>1</v>
      </c>
      <c r="F40" s="3">
        <v>0</v>
      </c>
      <c r="G40" s="3">
        <f>1759.3-1723.5</f>
        <v>35.799999999999955</v>
      </c>
      <c r="H40" s="8" t="e">
        <f t="shared" si="8"/>
        <v>#NUM!</v>
      </c>
    </row>
    <row r="41" spans="1:8" x14ac:dyDescent="0.2">
      <c r="A41" s="3" t="s">
        <v>14</v>
      </c>
      <c r="B41">
        <v>0</v>
      </c>
      <c r="C41">
        <v>0</v>
      </c>
      <c r="D41">
        <f t="shared" si="7"/>
        <v>0</v>
      </c>
      <c r="E41" s="3">
        <v>1</v>
      </c>
      <c r="F41" s="3">
        <v>0</v>
      </c>
      <c r="G41" s="3">
        <f>1781-1729.2</f>
        <v>51.799999999999955</v>
      </c>
      <c r="H41" s="8" t="e">
        <f t="shared" si="8"/>
        <v>#NUM!</v>
      </c>
    </row>
    <row r="42" spans="1:8" x14ac:dyDescent="0.2">
      <c r="A42" s="3" t="s">
        <v>15</v>
      </c>
      <c r="B42">
        <v>0</v>
      </c>
      <c r="C42">
        <v>0</v>
      </c>
      <c r="D42">
        <f t="shared" si="7"/>
        <v>0</v>
      </c>
      <c r="E42" s="3">
        <v>1</v>
      </c>
      <c r="F42" s="3">
        <v>0</v>
      </c>
      <c r="G42" s="3">
        <f>2505.4-1874.9</f>
        <v>630.5</v>
      </c>
      <c r="H42" s="8" t="e">
        <f t="shared" si="8"/>
        <v>#NUM!</v>
      </c>
    </row>
    <row r="43" spans="1:8" x14ac:dyDescent="0.2">
      <c r="A43" s="3" t="s">
        <v>19</v>
      </c>
      <c r="B43">
        <v>0</v>
      </c>
      <c r="C43">
        <v>0</v>
      </c>
      <c r="D43">
        <f t="shared" si="7"/>
        <v>0</v>
      </c>
      <c r="E43" s="3">
        <v>1</v>
      </c>
      <c r="F43" s="3">
        <v>0</v>
      </c>
      <c r="G43" s="3">
        <f>1848.2-1716</f>
        <v>132.20000000000005</v>
      </c>
      <c r="H43" s="8" t="e">
        <f t="shared" si="8"/>
        <v>#NUM!</v>
      </c>
    </row>
    <row r="45" spans="1:8" ht="51" x14ac:dyDescent="0.2">
      <c r="A45" s="2" t="s">
        <v>31</v>
      </c>
      <c r="B45" s="25" t="s">
        <v>0</v>
      </c>
      <c r="C45" s="25"/>
      <c r="D45" s="4" t="s">
        <v>1</v>
      </c>
      <c r="E45" s="4" t="s">
        <v>2</v>
      </c>
      <c r="F45" s="4" t="s">
        <v>33</v>
      </c>
      <c r="G45" s="4" t="s">
        <v>17</v>
      </c>
      <c r="H45" s="7" t="s">
        <v>18</v>
      </c>
    </row>
    <row r="46" spans="1:8" x14ac:dyDescent="0.2">
      <c r="A46" s="3" t="s">
        <v>9</v>
      </c>
      <c r="B46">
        <v>0</v>
      </c>
      <c r="C46">
        <v>0</v>
      </c>
      <c r="D46">
        <f>AVERAGE(B46:C46)</f>
        <v>0</v>
      </c>
      <c r="E46" s="3">
        <v>1</v>
      </c>
      <c r="F46" s="3">
        <v>0</v>
      </c>
      <c r="G46" s="3">
        <f>2274.5-1717.8</f>
        <v>556.70000000000005</v>
      </c>
      <c r="H46" s="8" t="e">
        <f>LOG10(D46*100*E46/G46*1000)</f>
        <v>#NUM!</v>
      </c>
    </row>
    <row r="47" spans="1:8" x14ac:dyDescent="0.2">
      <c r="A47" s="3" t="s">
        <v>10</v>
      </c>
      <c r="B47">
        <v>48</v>
      </c>
      <c r="C47">
        <v>35</v>
      </c>
      <c r="D47">
        <f t="shared" ref="D47:D54" si="9">AVERAGE(B47:C47)</f>
        <v>41.5</v>
      </c>
      <c r="E47" s="3">
        <v>100</v>
      </c>
      <c r="G47" s="3">
        <f>3566.9-1875.9</f>
        <v>1691</v>
      </c>
      <c r="H47" s="8">
        <f t="shared" ref="H47:H54" si="10">LOG10(D47*100*E47/G47*1000)</f>
        <v>5.3899044891143513</v>
      </c>
    </row>
    <row r="48" spans="1:8" x14ac:dyDescent="0.2">
      <c r="A48" s="3" t="s">
        <v>11</v>
      </c>
      <c r="B48">
        <v>12</v>
      </c>
      <c r="C48">
        <v>28</v>
      </c>
      <c r="D48">
        <f t="shared" si="9"/>
        <v>20</v>
      </c>
      <c r="E48" s="3">
        <v>1000000</v>
      </c>
      <c r="G48" s="3">
        <f>3525.8-1730.3</f>
        <v>1795.5000000000002</v>
      </c>
      <c r="H48" s="8">
        <f t="shared" si="10"/>
        <v>9.0468445862018889</v>
      </c>
    </row>
    <row r="49" spans="1:8" x14ac:dyDescent="0.2">
      <c r="A49" s="3" t="s">
        <v>12</v>
      </c>
      <c r="B49">
        <v>34</v>
      </c>
      <c r="C49">
        <v>29</v>
      </c>
      <c r="D49">
        <f t="shared" si="9"/>
        <v>31.5</v>
      </c>
      <c r="E49" s="3">
        <v>100</v>
      </c>
      <c r="G49" s="3">
        <f>1812.2-1721.8</f>
        <v>90.400000000000091</v>
      </c>
      <c r="H49" s="8">
        <f t="shared" si="10"/>
        <v>6.5421421233142372</v>
      </c>
    </row>
    <row r="50" spans="1:8" ht="17" x14ac:dyDescent="0.2">
      <c r="A50" s="4" t="s">
        <v>13</v>
      </c>
      <c r="B50" s="6">
        <v>44</v>
      </c>
      <c r="C50" s="6">
        <v>45</v>
      </c>
      <c r="D50">
        <f t="shared" si="9"/>
        <v>44.5</v>
      </c>
      <c r="E50" s="4">
        <v>10000</v>
      </c>
      <c r="F50" s="4"/>
      <c r="G50" s="4">
        <f>1903.9-1729.3</f>
        <v>174.60000000000014</v>
      </c>
      <c r="H50" s="8">
        <f t="shared" si="10"/>
        <v>8.4063157716113803</v>
      </c>
    </row>
    <row r="51" spans="1:8" x14ac:dyDescent="0.2">
      <c r="A51" s="3" t="s">
        <v>16</v>
      </c>
      <c r="D51" t="e">
        <f t="shared" si="9"/>
        <v>#DIV/0!</v>
      </c>
      <c r="E51" s="3"/>
      <c r="F51" s="3">
        <v>19</v>
      </c>
      <c r="G51" s="3">
        <f>1821-1737</f>
        <v>84</v>
      </c>
      <c r="H51" s="8">
        <f>LOG10(F51*10/G51*1000)</f>
        <v>3.3544743148909473</v>
      </c>
    </row>
    <row r="52" spans="1:8" x14ac:dyDescent="0.2">
      <c r="A52" s="3" t="s">
        <v>14</v>
      </c>
      <c r="B52">
        <v>0</v>
      </c>
      <c r="C52">
        <v>0</v>
      </c>
      <c r="D52">
        <f t="shared" si="9"/>
        <v>0</v>
      </c>
      <c r="E52" s="3">
        <v>1</v>
      </c>
      <c r="F52" s="3">
        <v>0</v>
      </c>
      <c r="G52" s="3">
        <f>1796.1-1738.2</f>
        <v>57.899999999999864</v>
      </c>
      <c r="H52" s="8" t="e">
        <f t="shared" si="10"/>
        <v>#NUM!</v>
      </c>
    </row>
    <row r="53" spans="1:8" x14ac:dyDescent="0.2">
      <c r="A53" s="3" t="s">
        <v>15</v>
      </c>
      <c r="B53">
        <v>0</v>
      </c>
      <c r="C53">
        <v>0</v>
      </c>
      <c r="D53">
        <f t="shared" si="9"/>
        <v>0</v>
      </c>
      <c r="E53" s="3">
        <v>1</v>
      </c>
      <c r="F53" s="3">
        <v>0</v>
      </c>
      <c r="G53" s="3">
        <f>2482.1-1791.2</f>
        <v>690.89999999999986</v>
      </c>
      <c r="H53" s="8" t="e">
        <f t="shared" si="10"/>
        <v>#NUM!</v>
      </c>
    </row>
    <row r="54" spans="1:8" x14ac:dyDescent="0.2">
      <c r="A54" s="3" t="s">
        <v>19</v>
      </c>
      <c r="B54">
        <v>0</v>
      </c>
      <c r="C54">
        <v>0</v>
      </c>
      <c r="D54">
        <f t="shared" si="9"/>
        <v>0</v>
      </c>
      <c r="E54" s="3">
        <v>1</v>
      </c>
      <c r="F54" s="3">
        <v>0</v>
      </c>
      <c r="G54" s="3">
        <f>1942.9-1792.6</f>
        <v>150.30000000000018</v>
      </c>
      <c r="H54" s="8" t="e">
        <f t="shared" si="10"/>
        <v>#NUM!</v>
      </c>
    </row>
  </sheetData>
  <mergeCells count="5">
    <mergeCell ref="B1:C1"/>
    <mergeCell ref="B12:C12"/>
    <mergeCell ref="B23:C23"/>
    <mergeCell ref="B34:C34"/>
    <mergeCell ref="B45:C4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111FF-2CA3-034A-B500-551ACF71245D}">
  <dimension ref="A1:H54"/>
  <sheetViews>
    <sheetView topLeftCell="A33" workbookViewId="0">
      <selection activeCell="L49" sqref="L49"/>
    </sheetView>
  </sheetViews>
  <sheetFormatPr baseColWidth="10" defaultRowHeight="16" x14ac:dyDescent="0.2"/>
  <cols>
    <col min="1" max="1" width="19" customWidth="1"/>
    <col min="6" max="6" width="10.83203125" style="3"/>
  </cols>
  <sheetData>
    <row r="1" spans="1:8" ht="51" x14ac:dyDescent="0.2">
      <c r="A1" s="2" t="s">
        <v>34</v>
      </c>
      <c r="B1" s="25" t="s">
        <v>0</v>
      </c>
      <c r="C1" s="25"/>
      <c r="D1" s="4" t="s">
        <v>1</v>
      </c>
      <c r="E1" s="4" t="s">
        <v>2</v>
      </c>
      <c r="F1" s="4" t="s">
        <v>33</v>
      </c>
      <c r="G1" s="4" t="s">
        <v>17</v>
      </c>
      <c r="H1" s="7" t="s">
        <v>18</v>
      </c>
    </row>
    <row r="2" spans="1:8" x14ac:dyDescent="0.2">
      <c r="A2" s="3" t="s">
        <v>9</v>
      </c>
      <c r="B2">
        <v>10</v>
      </c>
      <c r="C2">
        <v>10</v>
      </c>
      <c r="D2">
        <f>AVERAGE(B2:C2)</f>
        <v>10</v>
      </c>
      <c r="E2" s="3">
        <v>1</v>
      </c>
      <c r="G2" s="3">
        <f>2063.4-1890.7</f>
        <v>172.70000000000005</v>
      </c>
      <c r="H2" s="8">
        <f>LOG10(D2*100*E2/G2*1000)</f>
        <v>3.7627076624325411</v>
      </c>
    </row>
    <row r="3" spans="1:8" x14ac:dyDescent="0.2">
      <c r="A3" s="3" t="s">
        <v>10</v>
      </c>
      <c r="B3">
        <v>44</v>
      </c>
      <c r="C3">
        <v>46</v>
      </c>
      <c r="D3">
        <f t="shared" ref="D3:D9" si="0">AVERAGE(B3:C3)</f>
        <v>45</v>
      </c>
      <c r="E3" s="3">
        <v>1000</v>
      </c>
      <c r="G3" s="3">
        <f>2777.6-1722.4</f>
        <v>1055.1999999999998</v>
      </c>
      <c r="H3" s="8">
        <f>LOG10(D3*100*E3/G3*1000)</f>
        <v>6.6298777312370349</v>
      </c>
    </row>
    <row r="4" spans="1:8" x14ac:dyDescent="0.2">
      <c r="A4" s="3" t="s">
        <v>11</v>
      </c>
      <c r="B4">
        <v>34</v>
      </c>
      <c r="C4">
        <v>29</v>
      </c>
      <c r="D4">
        <f t="shared" si="0"/>
        <v>31.5</v>
      </c>
      <c r="E4" s="3">
        <v>100000</v>
      </c>
      <c r="G4" s="3">
        <f>2256.3-1734.3</f>
        <v>522.00000000000023</v>
      </c>
      <c r="H4" s="8">
        <f t="shared" ref="H4:H8" si="1">LOG10(D4*100*E4/G4*1000)</f>
        <v>8.7806400507873388</v>
      </c>
    </row>
    <row r="5" spans="1:8" x14ac:dyDescent="0.2">
      <c r="A5" s="3" t="s">
        <v>12</v>
      </c>
      <c r="D5" t="e">
        <f t="shared" si="0"/>
        <v>#DIV/0!</v>
      </c>
      <c r="E5" s="3"/>
      <c r="F5" s="3">
        <v>3</v>
      </c>
      <c r="G5" s="3">
        <f>1784.1-1719</f>
        <v>65.099999999999909</v>
      </c>
      <c r="H5" s="8">
        <f>LOG10(F5*10/G5*1000)</f>
        <v>2.6635402661514713</v>
      </c>
    </row>
    <row r="6" spans="1:8" ht="17" x14ac:dyDescent="0.2">
      <c r="A6" s="4" t="s">
        <v>13</v>
      </c>
      <c r="B6" s="6">
        <v>20</v>
      </c>
      <c r="C6" s="6">
        <v>22</v>
      </c>
      <c r="D6">
        <f t="shared" si="0"/>
        <v>21</v>
      </c>
      <c r="E6" s="4">
        <v>1000</v>
      </c>
      <c r="F6" s="4"/>
      <c r="G6" s="4">
        <f>1759.4-1718.5</f>
        <v>40.900000000000091</v>
      </c>
      <c r="H6" s="8">
        <f t="shared" si="1"/>
        <v>7.7104959867265768</v>
      </c>
    </row>
    <row r="7" spans="1:8" x14ac:dyDescent="0.2">
      <c r="A7" s="3" t="s">
        <v>39</v>
      </c>
      <c r="D7" t="e">
        <f t="shared" si="0"/>
        <v>#DIV/0!</v>
      </c>
      <c r="E7" s="3"/>
      <c r="G7" s="3"/>
      <c r="H7" s="8"/>
    </row>
    <row r="8" spans="1:8" x14ac:dyDescent="0.2">
      <c r="A8" s="3" t="s">
        <v>14</v>
      </c>
      <c r="B8">
        <v>0</v>
      </c>
      <c r="C8">
        <v>0</v>
      </c>
      <c r="D8">
        <f t="shared" si="0"/>
        <v>0</v>
      </c>
      <c r="E8" s="3">
        <v>1</v>
      </c>
      <c r="F8" s="3">
        <v>0</v>
      </c>
      <c r="G8" s="3">
        <f>1809.2-1703</f>
        <v>106.20000000000005</v>
      </c>
      <c r="H8" s="8" t="e">
        <f t="shared" si="1"/>
        <v>#NUM!</v>
      </c>
    </row>
    <row r="9" spans="1:8" x14ac:dyDescent="0.2">
      <c r="A9" s="3" t="s">
        <v>15</v>
      </c>
      <c r="D9" t="e">
        <f t="shared" si="0"/>
        <v>#DIV/0!</v>
      </c>
      <c r="E9" s="3"/>
      <c r="F9" s="3">
        <v>6</v>
      </c>
      <c r="G9" s="3">
        <f>2138.9-1807.1</f>
        <v>331.80000000000018</v>
      </c>
      <c r="H9" s="8">
        <f>LOG10(F9*10/G9*1000)</f>
        <v>2.2572748686953013</v>
      </c>
    </row>
    <row r="10" spans="1:8" x14ac:dyDescent="0.2">
      <c r="A10" s="3" t="s">
        <v>19</v>
      </c>
      <c r="B10">
        <v>0</v>
      </c>
      <c r="C10">
        <v>0</v>
      </c>
      <c r="D10">
        <f>AVERAGE(B10:C10)</f>
        <v>0</v>
      </c>
      <c r="E10" s="3">
        <v>1</v>
      </c>
      <c r="F10" s="3">
        <v>0</v>
      </c>
      <c r="G10" s="3">
        <f>1862-1716.6</f>
        <v>145.40000000000009</v>
      </c>
      <c r="H10" s="8" t="e">
        <f>LOG10(F10*10/G10*1000)</f>
        <v>#NUM!</v>
      </c>
    </row>
    <row r="11" spans="1:8" x14ac:dyDescent="0.2">
      <c r="E11" s="3"/>
      <c r="G11" s="3"/>
      <c r="H11" s="8"/>
    </row>
    <row r="12" spans="1:8" ht="51" x14ac:dyDescent="0.2">
      <c r="A12" s="2" t="s">
        <v>35</v>
      </c>
      <c r="B12" s="25" t="s">
        <v>0</v>
      </c>
      <c r="C12" s="25"/>
      <c r="D12" s="4" t="s">
        <v>1</v>
      </c>
      <c r="E12" s="4" t="s">
        <v>2</v>
      </c>
      <c r="F12" s="4" t="s">
        <v>33</v>
      </c>
      <c r="G12" s="4" t="s">
        <v>17</v>
      </c>
      <c r="H12" s="7" t="s">
        <v>18</v>
      </c>
    </row>
    <row r="13" spans="1:8" x14ac:dyDescent="0.2">
      <c r="A13" s="3" t="s">
        <v>9</v>
      </c>
      <c r="B13">
        <v>16</v>
      </c>
      <c r="C13">
        <v>23</v>
      </c>
      <c r="D13">
        <f>AVERAGE(B13:C13)</f>
        <v>19.5</v>
      </c>
      <c r="E13" s="3">
        <v>10</v>
      </c>
      <c r="G13" s="3">
        <f>2542.5-1730</f>
        <v>812.5</v>
      </c>
      <c r="H13" s="8">
        <f>LOG10(D13*100*E13/G13*1000)</f>
        <v>4.3802112417116064</v>
      </c>
    </row>
    <row r="14" spans="1:8" x14ac:dyDescent="0.2">
      <c r="A14" s="3" t="s">
        <v>10</v>
      </c>
      <c r="B14">
        <v>16</v>
      </c>
      <c r="C14">
        <v>11</v>
      </c>
      <c r="D14">
        <f t="shared" ref="D14:D21" si="2">AVERAGE(B14:C14)</f>
        <v>13.5</v>
      </c>
      <c r="E14" s="3">
        <v>10</v>
      </c>
      <c r="G14" s="3">
        <f>3315.4-1732</f>
        <v>1583.4</v>
      </c>
      <c r="H14" s="8">
        <f>LOG10(D14*100*E14/G14*1000)</f>
        <v>3.9307431278913127</v>
      </c>
    </row>
    <row r="15" spans="1:8" x14ac:dyDescent="0.2">
      <c r="A15" s="3" t="s">
        <v>11</v>
      </c>
      <c r="B15">
        <v>16</v>
      </c>
      <c r="C15">
        <v>6</v>
      </c>
      <c r="D15">
        <f t="shared" si="2"/>
        <v>11</v>
      </c>
      <c r="E15" s="3">
        <v>100</v>
      </c>
      <c r="G15" s="3">
        <f>2826.6-1807.9</f>
        <v>1018.6999999999998</v>
      </c>
      <c r="H15" s="8">
        <f t="shared" ref="H15:H21" si="3">LOG10(D15*100*E15/G15*1000)</f>
        <v>5.0333463789998749</v>
      </c>
    </row>
    <row r="16" spans="1:8" x14ac:dyDescent="0.2">
      <c r="A16" s="3" t="s">
        <v>12</v>
      </c>
      <c r="D16" t="e">
        <f t="shared" si="2"/>
        <v>#DIV/0!</v>
      </c>
      <c r="E16" s="3"/>
      <c r="F16" s="3">
        <v>14</v>
      </c>
      <c r="G16" s="3">
        <f>1911.2-1721.1</f>
        <v>190.10000000000014</v>
      </c>
      <c r="H16" s="8">
        <f>LOG10(F16*10/G16*1000)</f>
        <v>2.8671459188127946</v>
      </c>
    </row>
    <row r="17" spans="1:8" ht="17" x14ac:dyDescent="0.2">
      <c r="A17" s="4" t="s">
        <v>13</v>
      </c>
      <c r="B17" s="6">
        <v>34</v>
      </c>
      <c r="C17" s="6">
        <v>35</v>
      </c>
      <c r="D17">
        <f t="shared" si="2"/>
        <v>34.5</v>
      </c>
      <c r="E17" s="4">
        <v>1</v>
      </c>
      <c r="F17" s="4"/>
      <c r="G17" s="4">
        <f>2039-1783.2</f>
        <v>255.79999999999995</v>
      </c>
      <c r="H17" s="8">
        <f t="shared" si="3"/>
        <v>4.1299185549306392</v>
      </c>
    </row>
    <row r="18" spans="1:8" x14ac:dyDescent="0.2">
      <c r="A18" s="3" t="s">
        <v>16</v>
      </c>
      <c r="D18" t="e">
        <f t="shared" si="2"/>
        <v>#DIV/0!</v>
      </c>
      <c r="E18" s="3"/>
      <c r="F18" s="3">
        <v>0</v>
      </c>
      <c r="G18" s="3">
        <f>1805-1794.2</f>
        <v>10.799999999999955</v>
      </c>
      <c r="H18" s="8" t="e">
        <f t="shared" si="3"/>
        <v>#DIV/0!</v>
      </c>
    </row>
    <row r="19" spans="1:8" x14ac:dyDescent="0.2">
      <c r="A19" s="3" t="s">
        <v>14</v>
      </c>
      <c r="D19" t="e">
        <f t="shared" si="2"/>
        <v>#DIV/0!</v>
      </c>
      <c r="E19" s="3"/>
      <c r="F19" s="3">
        <v>0</v>
      </c>
      <c r="G19" s="3">
        <f>1809.3-1715.8</f>
        <v>93.5</v>
      </c>
      <c r="H19" s="8" t="e">
        <f t="shared" si="3"/>
        <v>#DIV/0!</v>
      </c>
    </row>
    <row r="20" spans="1:8" x14ac:dyDescent="0.2">
      <c r="A20" s="3" t="s">
        <v>15</v>
      </c>
      <c r="D20" t="e">
        <f t="shared" si="2"/>
        <v>#DIV/0!</v>
      </c>
      <c r="E20" s="3"/>
      <c r="F20" s="3">
        <v>0</v>
      </c>
      <c r="G20" s="3">
        <f>2983.6-1716.9</f>
        <v>1266.6999999999998</v>
      </c>
      <c r="H20" s="8" t="e">
        <f t="shared" si="3"/>
        <v>#DIV/0!</v>
      </c>
    </row>
    <row r="21" spans="1:8" x14ac:dyDescent="0.2">
      <c r="A21" s="3" t="s">
        <v>19</v>
      </c>
      <c r="D21" t="e">
        <f t="shared" si="2"/>
        <v>#DIV/0!</v>
      </c>
      <c r="E21" s="3"/>
      <c r="F21" s="3">
        <v>0</v>
      </c>
      <c r="G21" s="3">
        <f>1851.8-1714.8</f>
        <v>137</v>
      </c>
      <c r="H21" s="8" t="e">
        <f t="shared" si="3"/>
        <v>#DIV/0!</v>
      </c>
    </row>
    <row r="22" spans="1:8" x14ac:dyDescent="0.2">
      <c r="A22" s="3"/>
      <c r="G22" s="3"/>
      <c r="H22" s="8"/>
    </row>
    <row r="23" spans="1:8" ht="51" x14ac:dyDescent="0.2">
      <c r="A23" s="2" t="s">
        <v>36</v>
      </c>
      <c r="B23" s="25" t="s">
        <v>0</v>
      </c>
      <c r="C23" s="25"/>
      <c r="D23" s="4" t="s">
        <v>1</v>
      </c>
      <c r="E23" s="4" t="s">
        <v>2</v>
      </c>
      <c r="F23" s="4" t="s">
        <v>33</v>
      </c>
      <c r="G23" s="4" t="s">
        <v>17</v>
      </c>
      <c r="H23" s="7" t="s">
        <v>18</v>
      </c>
    </row>
    <row r="24" spans="1:8" x14ac:dyDescent="0.2">
      <c r="A24" s="3" t="s">
        <v>9</v>
      </c>
      <c r="B24">
        <v>55</v>
      </c>
      <c r="C24">
        <v>48</v>
      </c>
      <c r="D24">
        <f>AVERAGE(B24:C24)</f>
        <v>51.5</v>
      </c>
      <c r="E24" s="3">
        <v>10</v>
      </c>
      <c r="G24" s="3">
        <f>2368.4-1709.7</f>
        <v>658.7</v>
      </c>
      <c r="H24" s="8">
        <f>LOG10(D24*100*E24/G24*1000)</f>
        <v>4.8931195655996769</v>
      </c>
    </row>
    <row r="25" spans="1:8" x14ac:dyDescent="0.2">
      <c r="A25" s="3" t="s">
        <v>10</v>
      </c>
      <c r="D25" t="e">
        <f t="shared" ref="D25:D32" si="4">AVERAGE(B25:C25)</f>
        <v>#DIV/0!</v>
      </c>
      <c r="E25" s="3"/>
      <c r="F25" s="3">
        <v>42</v>
      </c>
      <c r="G25" s="3">
        <f>3563.5-1807.3</f>
        <v>1756.2</v>
      </c>
      <c r="H25" s="8">
        <f>LOG10(F25*10/G25*1000)</f>
        <v>2.3786753175804649</v>
      </c>
    </row>
    <row r="26" spans="1:8" x14ac:dyDescent="0.2">
      <c r="A26" s="3" t="s">
        <v>11</v>
      </c>
      <c r="B26">
        <v>59</v>
      </c>
      <c r="C26">
        <v>46</v>
      </c>
      <c r="D26">
        <f t="shared" si="4"/>
        <v>52.5</v>
      </c>
      <c r="E26" s="3">
        <v>1000</v>
      </c>
      <c r="G26" s="3">
        <f>2986.8-1734.3</f>
        <v>1252.5000000000002</v>
      </c>
      <c r="H26" s="8">
        <f t="shared" ref="H26:H29" si="5">LOG10(D26*100*E26/G26*1000)</f>
        <v>6.6223815688666736</v>
      </c>
    </row>
    <row r="27" spans="1:8" x14ac:dyDescent="0.2">
      <c r="A27" s="3" t="s">
        <v>12</v>
      </c>
      <c r="B27">
        <v>28</v>
      </c>
      <c r="C27">
        <v>35</v>
      </c>
      <c r="D27">
        <f t="shared" si="4"/>
        <v>31.5</v>
      </c>
      <c r="E27" s="3">
        <v>1</v>
      </c>
      <c r="G27" s="3">
        <f>1855.8-1727.4</f>
        <v>128.39999999999986</v>
      </c>
      <c r="H27" s="8">
        <f t="shared" si="5"/>
        <v>4.3897455300567669</v>
      </c>
    </row>
    <row r="28" spans="1:8" ht="17" x14ac:dyDescent="0.2">
      <c r="A28" s="4" t="s">
        <v>13</v>
      </c>
      <c r="B28" s="6">
        <v>33</v>
      </c>
      <c r="C28" s="6">
        <v>30</v>
      </c>
      <c r="D28">
        <f t="shared" si="4"/>
        <v>31.5</v>
      </c>
      <c r="E28" s="4">
        <v>100</v>
      </c>
      <c r="F28" s="4"/>
      <c r="G28" s="4">
        <f>1979.2-1795.6</f>
        <v>183.60000000000014</v>
      </c>
      <c r="H28" s="8">
        <f t="shared" si="5"/>
        <v>6.2344378769243765</v>
      </c>
    </row>
    <row r="29" spans="1:8" x14ac:dyDescent="0.2">
      <c r="A29" s="3" t="s">
        <v>16</v>
      </c>
      <c r="D29" t="e">
        <f t="shared" si="4"/>
        <v>#DIV/0!</v>
      </c>
      <c r="E29" s="3"/>
      <c r="F29" s="3">
        <v>0</v>
      </c>
      <c r="G29" s="3">
        <f>1880-1870.3</f>
        <v>9.7000000000000455</v>
      </c>
      <c r="H29" s="8" t="e">
        <f t="shared" si="5"/>
        <v>#DIV/0!</v>
      </c>
    </row>
    <row r="30" spans="1:8" x14ac:dyDescent="0.2">
      <c r="A30" s="3" t="s">
        <v>14</v>
      </c>
      <c r="D30" t="e">
        <f t="shared" si="4"/>
        <v>#DIV/0!</v>
      </c>
      <c r="E30" s="3"/>
      <c r="F30" s="3">
        <v>0</v>
      </c>
      <c r="G30" s="3">
        <f>1827.2-1734.4</f>
        <v>92.799999999999955</v>
      </c>
      <c r="H30" s="8" t="e">
        <f>LOG10(F30*10/G30*1000)</f>
        <v>#NUM!</v>
      </c>
    </row>
    <row r="31" spans="1:8" x14ac:dyDescent="0.2">
      <c r="A31" s="3" t="s">
        <v>15</v>
      </c>
      <c r="D31" t="e">
        <f t="shared" si="4"/>
        <v>#DIV/0!</v>
      </c>
      <c r="E31" s="3"/>
      <c r="F31" s="3">
        <v>0</v>
      </c>
      <c r="G31" s="3">
        <f>2965.5-1734</f>
        <v>1231.5</v>
      </c>
      <c r="H31" s="8" t="e">
        <f t="shared" ref="H31:H32" si="6">LOG10(F31*10/G31*1000)</f>
        <v>#NUM!</v>
      </c>
    </row>
    <row r="32" spans="1:8" x14ac:dyDescent="0.2">
      <c r="A32" s="3" t="s">
        <v>19</v>
      </c>
      <c r="D32" t="e">
        <f t="shared" si="4"/>
        <v>#DIV/0!</v>
      </c>
      <c r="E32" s="3"/>
      <c r="F32" s="3">
        <v>0</v>
      </c>
      <c r="G32" s="3">
        <f>1873.3-1719.1</f>
        <v>154.20000000000005</v>
      </c>
      <c r="H32" s="8" t="e">
        <f t="shared" si="6"/>
        <v>#NUM!</v>
      </c>
    </row>
    <row r="33" spans="1:8" x14ac:dyDescent="0.2">
      <c r="A33" s="3"/>
      <c r="G33" s="3"/>
      <c r="H33" s="8"/>
    </row>
    <row r="34" spans="1:8" ht="51" x14ac:dyDescent="0.2">
      <c r="A34" s="2" t="s">
        <v>37</v>
      </c>
      <c r="B34" s="25" t="s">
        <v>0</v>
      </c>
      <c r="C34" s="25"/>
      <c r="D34" s="4" t="s">
        <v>1</v>
      </c>
      <c r="E34" s="4" t="s">
        <v>2</v>
      </c>
      <c r="F34" s="4" t="s">
        <v>33</v>
      </c>
      <c r="G34" s="4" t="s">
        <v>17</v>
      </c>
      <c r="H34" s="7" t="s">
        <v>18</v>
      </c>
    </row>
    <row r="35" spans="1:8" x14ac:dyDescent="0.2">
      <c r="A35" s="3" t="s">
        <v>9</v>
      </c>
      <c r="B35">
        <v>60</v>
      </c>
      <c r="C35">
        <v>56</v>
      </c>
      <c r="D35">
        <f>AVERAGE(B35:C35)</f>
        <v>58</v>
      </c>
      <c r="E35" s="3">
        <v>10</v>
      </c>
      <c r="G35" s="3">
        <f>2268.3-1719</f>
        <v>549.30000000000018</v>
      </c>
      <c r="H35" s="8">
        <f>LOG10(D35*100*E35/G35*1000)</f>
        <v>5.023618394541578</v>
      </c>
    </row>
    <row r="36" spans="1:8" x14ac:dyDescent="0.2">
      <c r="A36" s="3" t="s">
        <v>10</v>
      </c>
      <c r="D36" t="e">
        <f t="shared" ref="D36:D43" si="7">AVERAGE(B36:C36)</f>
        <v>#DIV/0!</v>
      </c>
      <c r="E36" s="3"/>
      <c r="F36" s="3">
        <v>110</v>
      </c>
      <c r="G36" s="3">
        <f>3219.5-1717.7</f>
        <v>1501.8</v>
      </c>
      <c r="H36" s="8">
        <f>LOG10(F36*10/G36*1000)</f>
        <v>2.8647805851663581</v>
      </c>
    </row>
    <row r="37" spans="1:8" x14ac:dyDescent="0.2">
      <c r="A37" s="3" t="s">
        <v>11</v>
      </c>
      <c r="B37">
        <v>12</v>
      </c>
      <c r="C37">
        <v>8</v>
      </c>
      <c r="D37">
        <f t="shared" si="7"/>
        <v>10</v>
      </c>
      <c r="E37" s="3">
        <v>100</v>
      </c>
      <c r="G37" s="3">
        <f>2694.9-1714.2</f>
        <v>980.7</v>
      </c>
      <c r="H37" s="8">
        <f t="shared" ref="H37:H43" si="8">LOG10(D37*100*E37/G37*1000)</f>
        <v>5.0084638246999686</v>
      </c>
    </row>
    <row r="38" spans="1:8" x14ac:dyDescent="0.2">
      <c r="A38" s="3" t="s">
        <v>12</v>
      </c>
      <c r="D38" t="e">
        <f t="shared" si="7"/>
        <v>#DIV/0!</v>
      </c>
      <c r="E38" s="3"/>
      <c r="F38" s="3">
        <v>6</v>
      </c>
      <c r="G38" s="3">
        <f>1952.1-1798</f>
        <v>154.09999999999991</v>
      </c>
      <c r="H38" s="8">
        <f>LOG10(F38*10/G38*1000)</f>
        <v>2.5903486116652248</v>
      </c>
    </row>
    <row r="39" spans="1:8" ht="17" x14ac:dyDescent="0.2">
      <c r="A39" s="4" t="s">
        <v>13</v>
      </c>
      <c r="B39" s="6">
        <v>42</v>
      </c>
      <c r="C39" s="6">
        <v>37</v>
      </c>
      <c r="D39">
        <f t="shared" si="7"/>
        <v>39.5</v>
      </c>
      <c r="E39" s="4">
        <v>1</v>
      </c>
      <c r="F39" s="4"/>
      <c r="G39" s="4">
        <f>1964.1-1785.3</f>
        <v>178.79999999999995</v>
      </c>
      <c r="H39" s="8">
        <f t="shared" si="8"/>
        <v>4.3442295811665614</v>
      </c>
    </row>
    <row r="40" spans="1:8" x14ac:dyDescent="0.2">
      <c r="A40" s="3" t="s">
        <v>16</v>
      </c>
      <c r="D40" t="e">
        <f t="shared" si="7"/>
        <v>#DIV/0!</v>
      </c>
      <c r="E40" s="3"/>
      <c r="F40" s="3">
        <v>0</v>
      </c>
      <c r="G40" s="3">
        <f>1663.1-1646.1</f>
        <v>17</v>
      </c>
      <c r="H40" s="8" t="e">
        <f t="shared" si="8"/>
        <v>#DIV/0!</v>
      </c>
    </row>
    <row r="41" spans="1:8" x14ac:dyDescent="0.2">
      <c r="A41" s="3" t="s">
        <v>14</v>
      </c>
      <c r="D41" t="e">
        <f t="shared" si="7"/>
        <v>#DIV/0!</v>
      </c>
      <c r="E41" s="3"/>
      <c r="F41" s="3">
        <v>0</v>
      </c>
      <c r="G41" s="3">
        <f>1831.3-1730.1</f>
        <v>101.20000000000005</v>
      </c>
      <c r="H41" s="8" t="e">
        <f t="shared" si="8"/>
        <v>#DIV/0!</v>
      </c>
    </row>
    <row r="42" spans="1:8" x14ac:dyDescent="0.2">
      <c r="A42" s="3" t="s">
        <v>15</v>
      </c>
      <c r="D42" t="e">
        <f t="shared" si="7"/>
        <v>#DIV/0!</v>
      </c>
      <c r="E42" s="3"/>
      <c r="F42" s="3">
        <v>0</v>
      </c>
      <c r="G42" s="3">
        <f>3032.5-1717.2</f>
        <v>1315.3</v>
      </c>
      <c r="H42" s="8" t="e">
        <f t="shared" si="8"/>
        <v>#DIV/0!</v>
      </c>
    </row>
    <row r="43" spans="1:8" x14ac:dyDescent="0.2">
      <c r="A43" s="3" t="s">
        <v>19</v>
      </c>
      <c r="D43" t="e">
        <f t="shared" si="7"/>
        <v>#DIV/0!</v>
      </c>
      <c r="E43" s="3"/>
      <c r="F43" s="3">
        <v>0</v>
      </c>
      <c r="G43" s="3">
        <f>1981.8-1800.1</f>
        <v>181.70000000000005</v>
      </c>
      <c r="H43" s="8" t="e">
        <f t="shared" si="8"/>
        <v>#DIV/0!</v>
      </c>
    </row>
    <row r="45" spans="1:8" ht="51" x14ac:dyDescent="0.2">
      <c r="A45" s="2" t="s">
        <v>38</v>
      </c>
      <c r="B45" s="25" t="s">
        <v>0</v>
      </c>
      <c r="C45" s="25"/>
      <c r="D45" s="4" t="s">
        <v>1</v>
      </c>
      <c r="E45" s="4" t="s">
        <v>2</v>
      </c>
      <c r="F45" s="4" t="s">
        <v>33</v>
      </c>
      <c r="G45" s="4" t="s">
        <v>17</v>
      </c>
      <c r="H45" s="7" t="s">
        <v>18</v>
      </c>
    </row>
    <row r="46" spans="1:8" x14ac:dyDescent="0.2">
      <c r="A46" s="3" t="s">
        <v>9</v>
      </c>
      <c r="B46">
        <v>27</v>
      </c>
      <c r="C46">
        <v>27</v>
      </c>
      <c r="D46">
        <f>AVERAGE(B46:C46)</f>
        <v>27</v>
      </c>
      <c r="E46" s="3">
        <v>1</v>
      </c>
      <c r="G46" s="3">
        <f>2793.4-1722.8</f>
        <v>1070.6000000000001</v>
      </c>
      <c r="H46" s="8">
        <f>LOG10(D46*100*E46/G46*1000)</f>
        <v>3.4017365251115743</v>
      </c>
    </row>
    <row r="47" spans="1:8" x14ac:dyDescent="0.2">
      <c r="A47" s="3" t="s">
        <v>10</v>
      </c>
      <c r="D47" t="e">
        <f t="shared" ref="D47:D54" si="9">AVERAGE(B47:C47)</f>
        <v>#DIV/0!</v>
      </c>
      <c r="E47" s="3"/>
      <c r="F47" s="3">
        <v>23</v>
      </c>
      <c r="G47" s="3">
        <f>3418.5-1716.1</f>
        <v>1702.4</v>
      </c>
      <c r="H47" s="8">
        <f>LOG10(F47*10/G47*1000)</f>
        <v>2.1306662254026389</v>
      </c>
    </row>
    <row r="48" spans="1:8" x14ac:dyDescent="0.2">
      <c r="A48" s="3" t="s">
        <v>11</v>
      </c>
      <c r="B48">
        <v>49</v>
      </c>
      <c r="C48">
        <v>54</v>
      </c>
      <c r="D48">
        <f t="shared" si="9"/>
        <v>51.5</v>
      </c>
      <c r="E48" s="3">
        <v>1000</v>
      </c>
      <c r="G48" s="3">
        <f>3059.3-1701.1</f>
        <v>1358.2000000000003</v>
      </c>
      <c r="H48" s="8">
        <f t="shared" ref="H48:H54" si="10">LOG10(D48*100*E48/G48*1000)</f>
        <v>6.5788435029104644</v>
      </c>
    </row>
    <row r="49" spans="1:8" x14ac:dyDescent="0.2">
      <c r="A49" s="3" t="s">
        <v>12</v>
      </c>
      <c r="B49">
        <v>15</v>
      </c>
      <c r="C49">
        <v>18</v>
      </c>
      <c r="D49">
        <f t="shared" si="9"/>
        <v>16.5</v>
      </c>
      <c r="E49" s="3">
        <v>1</v>
      </c>
      <c r="G49" s="3">
        <f>1837.5-1717.3</f>
        <v>120.20000000000005</v>
      </c>
      <c r="H49" s="8">
        <f t="shared" si="10"/>
        <v>4.1375794765471854</v>
      </c>
    </row>
    <row r="50" spans="1:8" ht="17" x14ac:dyDescent="0.2">
      <c r="A50" s="4" t="s">
        <v>13</v>
      </c>
      <c r="B50" s="6">
        <v>51</v>
      </c>
      <c r="C50" s="6">
        <v>38</v>
      </c>
      <c r="D50">
        <f t="shared" si="9"/>
        <v>44.5</v>
      </c>
      <c r="E50" s="4">
        <v>10</v>
      </c>
      <c r="F50" s="4"/>
      <c r="G50" s="4">
        <f>1944.1-1733.8</f>
        <v>210.29999999999995</v>
      </c>
      <c r="H50" s="8">
        <f t="shared" si="10"/>
        <v>5.3255207382946104</v>
      </c>
    </row>
    <row r="51" spans="1:8" x14ac:dyDescent="0.2">
      <c r="A51" s="3" t="s">
        <v>16</v>
      </c>
      <c r="D51" t="e">
        <f t="shared" si="9"/>
        <v>#DIV/0!</v>
      </c>
      <c r="E51" s="3"/>
      <c r="F51" s="3">
        <v>0</v>
      </c>
      <c r="G51" s="3">
        <f>1713.5-1706.9</f>
        <v>6.5999999999999091</v>
      </c>
      <c r="H51" s="8" t="e">
        <f>LOG10(F51*10/G51*1000)</f>
        <v>#NUM!</v>
      </c>
    </row>
    <row r="52" spans="1:8" x14ac:dyDescent="0.2">
      <c r="A52" s="3" t="s">
        <v>14</v>
      </c>
      <c r="D52" t="e">
        <f t="shared" si="9"/>
        <v>#DIV/0!</v>
      </c>
      <c r="E52" s="3"/>
      <c r="F52" s="3">
        <v>0</v>
      </c>
      <c r="G52" s="3">
        <f>1818-1730.7</f>
        <v>87.299999999999955</v>
      </c>
      <c r="H52" s="8" t="e">
        <f t="shared" si="10"/>
        <v>#DIV/0!</v>
      </c>
    </row>
    <row r="53" spans="1:8" x14ac:dyDescent="0.2">
      <c r="A53" s="3" t="s">
        <v>15</v>
      </c>
      <c r="D53" t="e">
        <f t="shared" si="9"/>
        <v>#DIV/0!</v>
      </c>
      <c r="E53" s="3"/>
      <c r="F53" s="3">
        <v>0</v>
      </c>
      <c r="G53" s="3">
        <f>2639.1-1720.6</f>
        <v>918.5</v>
      </c>
      <c r="H53" s="8" t="e">
        <f t="shared" si="10"/>
        <v>#DIV/0!</v>
      </c>
    </row>
    <row r="54" spans="1:8" x14ac:dyDescent="0.2">
      <c r="A54" s="3" t="s">
        <v>19</v>
      </c>
      <c r="D54" t="e">
        <f t="shared" si="9"/>
        <v>#DIV/0!</v>
      </c>
      <c r="E54" s="3"/>
      <c r="F54" s="3">
        <v>0</v>
      </c>
      <c r="G54" s="3">
        <f>1992.6-1867.1</f>
        <v>125.5</v>
      </c>
      <c r="H54" s="8" t="e">
        <f t="shared" si="10"/>
        <v>#DIV/0!</v>
      </c>
    </row>
  </sheetData>
  <mergeCells count="5">
    <mergeCell ref="B1:C1"/>
    <mergeCell ref="B12:C12"/>
    <mergeCell ref="B23:C23"/>
    <mergeCell ref="B34:C34"/>
    <mergeCell ref="B45:C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dose</vt:lpstr>
      <vt:lpstr>day 3 organs </vt:lpstr>
      <vt:lpstr>day 7 organs</vt:lpstr>
      <vt:lpstr>day 14 organs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2024-02-15T20:02:22Z</dcterms:modified>
</cp:coreProperties>
</file>