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4/Mouse GI carriage/"/>
    </mc:Choice>
  </mc:AlternateContent>
  <xr:revisionPtr revIDLastSave="0" documentId="13_ncr:1_{F57DD3AE-69EB-A540-ACAC-367C549BB262}" xr6:coauthVersionLast="47" xr6:coauthVersionMax="47" xr10:uidLastSave="{00000000-0000-0000-0000-000000000000}"/>
  <bookViews>
    <workbookView xWindow="0" yWindow="760" windowWidth="15000" windowHeight="17500" activeTab="2" xr2:uid="{05D28018-5EC7-B748-ACA7-09DD0AD3B70C}"/>
  </bookViews>
  <sheets>
    <sheet name="dose" sheetId="4" r:id="rId1"/>
    <sheet name="1h" sheetId="8" r:id="rId2"/>
    <sheet name="6h" sheetId="1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9" i="12" l="1"/>
  <c r="F39" i="12" s="1"/>
  <c r="E38" i="12"/>
  <c r="E37" i="12"/>
  <c r="E36" i="12"/>
  <c r="E35" i="12"/>
  <c r="E34" i="12"/>
  <c r="E31" i="12"/>
  <c r="E30" i="12"/>
  <c r="E29" i="12"/>
  <c r="E28" i="12"/>
  <c r="E27" i="12"/>
  <c r="E26" i="12"/>
  <c r="F19" i="12"/>
  <c r="E23" i="12"/>
  <c r="E22" i="12"/>
  <c r="E21" i="12"/>
  <c r="E20" i="12"/>
  <c r="E19" i="12"/>
  <c r="E18" i="12"/>
  <c r="G19" i="12"/>
  <c r="E15" i="12"/>
  <c r="E14" i="12"/>
  <c r="E13" i="12"/>
  <c r="E12" i="12"/>
  <c r="E11" i="12"/>
  <c r="E10" i="12"/>
  <c r="F15" i="12"/>
  <c r="G15" i="12"/>
  <c r="F2" i="12"/>
  <c r="E7" i="12"/>
  <c r="E6" i="12"/>
  <c r="E5" i="12"/>
  <c r="E4" i="12"/>
  <c r="E3" i="12"/>
  <c r="E2" i="12"/>
  <c r="G2" i="12"/>
  <c r="G39" i="12"/>
  <c r="G38" i="12"/>
  <c r="F38" i="12"/>
  <c r="G37" i="12"/>
  <c r="F37" i="12"/>
  <c r="G36" i="12"/>
  <c r="F36" i="12"/>
  <c r="G35" i="12"/>
  <c r="F35" i="12"/>
  <c r="G34" i="12"/>
  <c r="F34" i="12"/>
  <c r="G31" i="12"/>
  <c r="F31" i="12"/>
  <c r="G30" i="12"/>
  <c r="F30" i="12"/>
  <c r="G29" i="12"/>
  <c r="F29" i="12"/>
  <c r="G28" i="12"/>
  <c r="F28" i="12"/>
  <c r="G27" i="12"/>
  <c r="F27" i="12"/>
  <c r="G26" i="12"/>
  <c r="F26" i="12"/>
  <c r="G23" i="12"/>
  <c r="F23" i="12"/>
  <c r="G22" i="12"/>
  <c r="F22" i="12"/>
  <c r="G21" i="12"/>
  <c r="F21" i="12"/>
  <c r="G20" i="12"/>
  <c r="F20" i="12"/>
  <c r="G18" i="12"/>
  <c r="F18" i="12"/>
  <c r="G14" i="12"/>
  <c r="F14" i="12"/>
  <c r="G13" i="12"/>
  <c r="F13" i="12"/>
  <c r="G12" i="12"/>
  <c r="F12" i="12"/>
  <c r="G11" i="12"/>
  <c r="F11" i="12"/>
  <c r="G10" i="12"/>
  <c r="F10" i="12"/>
  <c r="G7" i="12"/>
  <c r="F7" i="12"/>
  <c r="G6" i="12"/>
  <c r="F6" i="12"/>
  <c r="G5" i="12"/>
  <c r="F5" i="12"/>
  <c r="G4" i="12"/>
  <c r="F4" i="12"/>
  <c r="G3" i="12"/>
  <c r="F3" i="12"/>
  <c r="G39" i="8"/>
  <c r="G38" i="8"/>
  <c r="G37" i="8"/>
  <c r="G36" i="8"/>
  <c r="G35" i="8"/>
  <c r="G34" i="8"/>
  <c r="G31" i="8"/>
  <c r="G30" i="8"/>
  <c r="G29" i="8"/>
  <c r="G28" i="8"/>
  <c r="G27" i="8"/>
  <c r="G26" i="8"/>
  <c r="G23" i="8"/>
  <c r="G22" i="8"/>
  <c r="G21" i="8"/>
  <c r="G20" i="8"/>
  <c r="G19" i="8"/>
  <c r="G18" i="8"/>
  <c r="G14" i="8"/>
  <c r="G13" i="8"/>
  <c r="G12" i="8"/>
  <c r="G11" i="8"/>
  <c r="G10" i="8"/>
  <c r="G4" i="8"/>
  <c r="G5" i="8"/>
  <c r="G6" i="8"/>
  <c r="G7" i="8"/>
  <c r="G3" i="8"/>
  <c r="G2" i="8"/>
  <c r="F34" i="8"/>
  <c r="E39" i="8"/>
  <c r="E38" i="8"/>
  <c r="E37" i="8"/>
  <c r="E36" i="8"/>
  <c r="E35" i="8"/>
  <c r="E34" i="8"/>
  <c r="E31" i="8"/>
  <c r="E30" i="8"/>
  <c r="E29" i="8"/>
  <c r="E28" i="8"/>
  <c r="E27" i="8"/>
  <c r="E26" i="8"/>
  <c r="E23" i="8"/>
  <c r="E22" i="8"/>
  <c r="E21" i="8"/>
  <c r="E20" i="8"/>
  <c r="E19" i="8"/>
  <c r="E18" i="8"/>
  <c r="F39" i="8"/>
  <c r="F38" i="8"/>
  <c r="F37" i="8"/>
  <c r="F36" i="8"/>
  <c r="F35" i="8"/>
  <c r="F31" i="8"/>
  <c r="F30" i="8"/>
  <c r="F29" i="8"/>
  <c r="F28" i="8"/>
  <c r="F27" i="8"/>
  <c r="F26" i="8"/>
  <c r="F23" i="8"/>
  <c r="F22" i="8"/>
  <c r="F21" i="8"/>
  <c r="F20" i="8"/>
  <c r="F19" i="8"/>
  <c r="F18" i="8"/>
  <c r="E14" i="8"/>
  <c r="E13" i="8"/>
  <c r="E12" i="8"/>
  <c r="E11" i="8"/>
  <c r="E10" i="8"/>
  <c r="F10" i="8"/>
  <c r="F14" i="8"/>
  <c r="F13" i="8"/>
  <c r="F12" i="8"/>
  <c r="F11" i="8"/>
  <c r="F3" i="8"/>
  <c r="F4" i="8"/>
  <c r="F5" i="8"/>
  <c r="F6" i="8"/>
  <c r="F7" i="8"/>
  <c r="F2" i="8"/>
  <c r="E7" i="8"/>
  <c r="E6" i="8"/>
  <c r="E5" i="8"/>
  <c r="E4" i="8"/>
  <c r="E3" i="8"/>
  <c r="E2" i="8"/>
  <c r="E3" i="4" l="1"/>
  <c r="E2" i="4"/>
  <c r="F2" i="4" l="1"/>
  <c r="G2" i="4" s="1"/>
</calcChain>
</file>

<file path=xl/sharedStrings.xml><?xml version="1.0" encoding="utf-8"?>
<sst xmlns="http://schemas.openxmlformats.org/spreadsheetml/2006/main" count="141" uniqueCount="33">
  <si>
    <t>mean in 10 µL</t>
  </si>
  <si>
    <t>Dilution factor</t>
  </si>
  <si>
    <t>Colony Count</t>
  </si>
  <si>
    <t>Dilution Factor</t>
  </si>
  <si>
    <t>Average CFUs</t>
  </si>
  <si>
    <t>Log CFUs</t>
  </si>
  <si>
    <t>CFUs/50uL</t>
  </si>
  <si>
    <t>OD reached</t>
  </si>
  <si>
    <t>stomach</t>
  </si>
  <si>
    <t>small intestine</t>
  </si>
  <si>
    <t>caecum</t>
  </si>
  <si>
    <t>colon</t>
  </si>
  <si>
    <t>organ weights (mg)</t>
  </si>
  <si>
    <t>Log10 CFU/g of organ</t>
  </si>
  <si>
    <t>BL012  (VBM plates)</t>
  </si>
  <si>
    <t>feces in colon</t>
  </si>
  <si>
    <t>expulsed feces</t>
  </si>
  <si>
    <t xml:space="preserve">BL012 1h mouse 1 </t>
  </si>
  <si>
    <t>BL012 1h mouse 2</t>
  </si>
  <si>
    <t xml:space="preserve">BL012 1h mouse 3 </t>
  </si>
  <si>
    <t xml:space="preserve">BL012 1h mouse 4 </t>
  </si>
  <si>
    <t>BL012 1h mouse 5</t>
  </si>
  <si>
    <t xml:space="preserve">BL012 6h mouse 1 </t>
  </si>
  <si>
    <t>BL012 6h mouse 2</t>
  </si>
  <si>
    <t xml:space="preserve">BL012 6h mouse 3 </t>
  </si>
  <si>
    <t xml:space="preserve">BL012 6h mouse 4 </t>
  </si>
  <si>
    <t>BL012 6h mouse 5</t>
  </si>
  <si>
    <t>CFU in 250µL</t>
  </si>
  <si>
    <t>CFU in 10 µL (undiluted)</t>
  </si>
  <si>
    <t>++</t>
  </si>
  <si>
    <t>expulsed feces - did not poop</t>
  </si>
  <si>
    <t>/</t>
  </si>
  <si>
    <t>Total log10 CFU in organ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</si>
</sst>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0" fontId="0" fillId="0" borderId="2" xfId="0" applyBorder="1"/>
    <xf numFmtId="11" fontId="0" fillId="0" borderId="2" xfId="0" applyNumberFormat="1" applyBorder="1" applyAlignment="1">
      <alignment horizontal="center" vertical="center"/>
    </xf>
    <xf numFmtId="0" fontId="0" fillId="0" borderId="5" xfId="0" applyBorder="1"/>
    <xf numFmtId="11" fontId="0" fillId="0" borderId="5" xfId="0" applyNumberForma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65" fontId="0" fillId="2" borderId="3" xfId="0" applyNumberFormat="1" applyFill="1" applyBorder="1" applyAlignment="1">
      <alignment horizontal="center" vertical="center"/>
    </xf>
    <xf numFmtId="165" fontId="0" fillId="2" borderId="6" xfId="0" applyNumberForma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quotePrefix="1" applyAlignment="1">
      <alignment horizontal="center"/>
    </xf>
    <xf numFmtId="2" fontId="1" fillId="0" borderId="0" xfId="0" applyNumberFormat="1" applyFont="1" applyAlignment="1">
      <alignment horizontal="center" vertical="center" wrapText="1"/>
    </xf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B1:I15"/>
  <sheetViews>
    <sheetView workbookViewId="0">
      <selection activeCell="H11" sqref="H11"/>
    </sheetView>
  </sheetViews>
  <sheetFormatPr baseColWidth="10" defaultRowHeight="16" x14ac:dyDescent="0.2"/>
  <cols>
    <col min="2" max="2" width="14.83203125" customWidth="1"/>
  </cols>
  <sheetData>
    <row r="1" spans="2:9" x14ac:dyDescent="0.2">
      <c r="B1" s="1"/>
      <c r="C1" s="5" t="s">
        <v>2</v>
      </c>
      <c r="D1" s="5" t="s">
        <v>3</v>
      </c>
      <c r="E1" s="5" t="s">
        <v>6</v>
      </c>
      <c r="F1" s="5" t="s">
        <v>4</v>
      </c>
      <c r="G1" s="5" t="s">
        <v>5</v>
      </c>
      <c r="I1" s="5" t="s">
        <v>7</v>
      </c>
    </row>
    <row r="2" spans="2:9" x14ac:dyDescent="0.2">
      <c r="B2" s="18" t="s">
        <v>14</v>
      </c>
      <c r="C2" s="9">
        <v>23</v>
      </c>
      <c r="D2" s="10">
        <v>10000</v>
      </c>
      <c r="E2" s="10">
        <f>C2*5*D2</f>
        <v>1150000</v>
      </c>
      <c r="F2" s="20">
        <f>AVERAGE(E2:E3)</f>
        <v>1225000</v>
      </c>
      <c r="G2" s="22">
        <f>LOG10(F2)</f>
        <v>6.0881360887005513</v>
      </c>
      <c r="I2" s="24">
        <v>0.33100000000000002</v>
      </c>
    </row>
    <row r="3" spans="2:9" x14ac:dyDescent="0.2">
      <c r="B3" s="19"/>
      <c r="C3" s="11">
        <v>26</v>
      </c>
      <c r="D3" s="12">
        <v>10000</v>
      </c>
      <c r="E3" s="12">
        <f>C3*5*D3</f>
        <v>1300000</v>
      </c>
      <c r="F3" s="21"/>
      <c r="G3" s="23"/>
      <c r="I3" s="24"/>
    </row>
    <row r="4" spans="2:9" x14ac:dyDescent="0.2">
      <c r="B4" s="6"/>
      <c r="D4" s="13"/>
      <c r="E4" s="13"/>
      <c r="F4" s="14"/>
      <c r="G4" s="15"/>
      <c r="I4" s="16"/>
    </row>
    <row r="5" spans="2:9" x14ac:dyDescent="0.2">
      <c r="B5" s="6"/>
      <c r="D5" s="13"/>
      <c r="E5" s="13"/>
      <c r="F5" s="14"/>
      <c r="G5" s="15"/>
      <c r="I5" s="16"/>
    </row>
    <row r="6" spans="2:9" x14ac:dyDescent="0.2">
      <c r="B6" s="6"/>
      <c r="D6" s="13"/>
      <c r="E6" s="13"/>
      <c r="F6" s="14"/>
      <c r="G6" s="15"/>
      <c r="I6" s="16"/>
    </row>
    <row r="7" spans="2:9" x14ac:dyDescent="0.2">
      <c r="B7" s="6"/>
      <c r="D7" s="13"/>
      <c r="E7" s="13"/>
      <c r="F7" s="14"/>
      <c r="G7" s="15"/>
      <c r="I7" s="16"/>
    </row>
    <row r="8" spans="2:9" x14ac:dyDescent="0.2">
      <c r="B8" s="6"/>
      <c r="D8" s="13"/>
      <c r="E8" s="13"/>
      <c r="F8" s="14"/>
      <c r="G8" s="15"/>
      <c r="I8" s="16"/>
    </row>
    <row r="9" spans="2:9" x14ac:dyDescent="0.2">
      <c r="B9" s="6"/>
      <c r="D9" s="13"/>
      <c r="E9" s="13"/>
      <c r="F9" s="14"/>
      <c r="G9" s="15"/>
      <c r="I9" s="16"/>
    </row>
    <row r="10" spans="2:9" x14ac:dyDescent="0.2">
      <c r="B10" s="4"/>
      <c r="D10" s="13"/>
      <c r="E10" s="13"/>
      <c r="F10" s="13"/>
      <c r="G10" s="17"/>
      <c r="I10" s="1"/>
    </row>
    <row r="11" spans="2:9" x14ac:dyDescent="0.2">
      <c r="B11" s="4"/>
      <c r="D11" s="13"/>
      <c r="E11" s="13"/>
      <c r="F11" s="13"/>
      <c r="G11" s="17"/>
      <c r="I11" s="1"/>
    </row>
    <row r="12" spans="2:9" x14ac:dyDescent="0.2">
      <c r="B12" s="4"/>
      <c r="D12" s="13"/>
      <c r="E12" s="13"/>
      <c r="F12" s="13"/>
      <c r="G12" s="17"/>
      <c r="I12" s="1"/>
    </row>
    <row r="13" spans="2:9" x14ac:dyDescent="0.2">
      <c r="B13" s="4"/>
      <c r="D13" s="13"/>
      <c r="E13" s="13"/>
      <c r="F13" s="13"/>
      <c r="G13" s="17"/>
      <c r="I13" s="1"/>
    </row>
    <row r="14" spans="2:9" x14ac:dyDescent="0.2">
      <c r="B14" s="6"/>
      <c r="D14" s="13"/>
      <c r="E14" s="13"/>
      <c r="F14" s="14"/>
      <c r="G14" s="16"/>
    </row>
    <row r="15" spans="2:9" x14ac:dyDescent="0.2">
      <c r="B15" s="6"/>
      <c r="D15" s="13"/>
      <c r="E15" s="13"/>
      <c r="F15" s="14"/>
      <c r="G15" s="16"/>
    </row>
  </sheetData>
  <mergeCells count="4">
    <mergeCell ref="I2:I3"/>
    <mergeCell ref="B2:B3"/>
    <mergeCell ref="F2:F3"/>
    <mergeCell ref="G2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10D40-A0F0-F947-8ED7-257928757B1D}">
  <dimension ref="A1:G51"/>
  <sheetViews>
    <sheetView topLeftCell="A16" zoomScale="81" workbookViewId="0">
      <selection activeCell="J32" sqref="J32"/>
    </sheetView>
  </sheetViews>
  <sheetFormatPr baseColWidth="10" defaultRowHeight="16" x14ac:dyDescent="0.2"/>
  <cols>
    <col min="1" max="1" width="19" customWidth="1"/>
    <col min="7" max="7" width="10.83203125" style="27"/>
  </cols>
  <sheetData>
    <row r="1" spans="1:7" ht="51" x14ac:dyDescent="0.2">
      <c r="A1" s="2" t="s">
        <v>17</v>
      </c>
      <c r="B1" s="4" t="s">
        <v>28</v>
      </c>
      <c r="C1" s="4" t="s">
        <v>1</v>
      </c>
      <c r="D1" s="4" t="s">
        <v>27</v>
      </c>
      <c r="E1" s="4" t="s">
        <v>12</v>
      </c>
      <c r="F1" s="7" t="s">
        <v>13</v>
      </c>
      <c r="G1" s="26" t="s">
        <v>32</v>
      </c>
    </row>
    <row r="2" spans="1:7" x14ac:dyDescent="0.2">
      <c r="A2" s="3" t="s">
        <v>8</v>
      </c>
      <c r="B2">
        <v>20</v>
      </c>
      <c r="C2" s="3">
        <v>10</v>
      </c>
      <c r="D2" s="25" t="s">
        <v>29</v>
      </c>
      <c r="E2" s="3">
        <f>2115.9-1696.1</f>
        <v>419.80000000000018</v>
      </c>
      <c r="F2" s="8">
        <f>LOG10(100*B2*C2/E2*1000)</f>
        <v>4.6779875614175994</v>
      </c>
      <c r="G2" s="27">
        <f>LOG10(100*C2*B2)</f>
        <v>4.3010299956639813</v>
      </c>
    </row>
    <row r="3" spans="1:7" x14ac:dyDescent="0.2">
      <c r="A3" s="3" t="s">
        <v>9</v>
      </c>
      <c r="B3">
        <v>1</v>
      </c>
      <c r="C3" s="3">
        <v>1</v>
      </c>
      <c r="D3" s="3">
        <v>3</v>
      </c>
      <c r="E3" s="3">
        <f>2859.4-1803.5</f>
        <v>1055.9000000000001</v>
      </c>
      <c r="F3" s="8">
        <f>LOG10(4*D3/E3*1000)</f>
        <v>1.055558456168618</v>
      </c>
      <c r="G3" s="27">
        <f>LOG(4*D3)</f>
        <v>1.0791812460476249</v>
      </c>
    </row>
    <row r="4" spans="1:7" x14ac:dyDescent="0.2">
      <c r="A4" s="3" t="s">
        <v>10</v>
      </c>
      <c r="B4">
        <v>0</v>
      </c>
      <c r="C4" s="3">
        <v>1</v>
      </c>
      <c r="D4" s="3">
        <v>0</v>
      </c>
      <c r="E4" s="3">
        <f>2717.5-1882.4</f>
        <v>835.09999999999991</v>
      </c>
      <c r="F4" s="8" t="e">
        <f t="shared" ref="F4:F7" si="0">LOG10(4*D4/E4*1000)</f>
        <v>#NUM!</v>
      </c>
      <c r="G4" s="27" t="e">
        <f t="shared" ref="G4:G7" si="1">LOG(4*D4)</f>
        <v>#NUM!</v>
      </c>
    </row>
    <row r="5" spans="1:7" x14ac:dyDescent="0.2">
      <c r="A5" s="3" t="s">
        <v>11</v>
      </c>
      <c r="B5">
        <v>0</v>
      </c>
      <c r="C5" s="3">
        <v>1</v>
      </c>
      <c r="D5" s="3">
        <v>0</v>
      </c>
      <c r="E5" s="3">
        <f>1920.9-1788.4</f>
        <v>132.5</v>
      </c>
      <c r="F5" s="8" t="e">
        <f t="shared" si="0"/>
        <v>#NUM!</v>
      </c>
      <c r="G5" s="27" t="e">
        <f t="shared" si="1"/>
        <v>#NUM!</v>
      </c>
    </row>
    <row r="6" spans="1:7" ht="17" x14ac:dyDescent="0.2">
      <c r="A6" s="4" t="s">
        <v>15</v>
      </c>
      <c r="B6">
        <v>0</v>
      </c>
      <c r="C6" s="4">
        <v>1</v>
      </c>
      <c r="D6" s="4">
        <v>0</v>
      </c>
      <c r="E6" s="4">
        <f>1843.6-1716</f>
        <v>127.59999999999991</v>
      </c>
      <c r="F6" s="8" t="e">
        <f t="shared" si="0"/>
        <v>#NUM!</v>
      </c>
      <c r="G6" s="27" t="e">
        <f t="shared" si="1"/>
        <v>#NUM!</v>
      </c>
    </row>
    <row r="7" spans="1:7" ht="17" x14ac:dyDescent="0.2">
      <c r="A7" s="4" t="s">
        <v>16</v>
      </c>
      <c r="B7">
        <v>0</v>
      </c>
      <c r="C7" s="3">
        <v>1</v>
      </c>
      <c r="D7" s="3">
        <v>0</v>
      </c>
      <c r="E7" s="3">
        <f>1726.8-1684.6</f>
        <v>42.200000000000045</v>
      </c>
      <c r="F7" s="8" t="e">
        <f t="shared" si="0"/>
        <v>#NUM!</v>
      </c>
      <c r="G7" s="27" t="e">
        <f t="shared" si="1"/>
        <v>#NUM!</v>
      </c>
    </row>
    <row r="8" spans="1:7" x14ac:dyDescent="0.2">
      <c r="C8" s="3"/>
      <c r="D8" s="3"/>
      <c r="E8" s="3"/>
      <c r="F8" s="8"/>
    </row>
    <row r="9" spans="1:7" ht="51" x14ac:dyDescent="0.2">
      <c r="A9" s="2" t="s">
        <v>18</v>
      </c>
      <c r="B9" s="4" t="s">
        <v>0</v>
      </c>
      <c r="C9" s="4" t="s">
        <v>1</v>
      </c>
      <c r="D9" s="4" t="s">
        <v>27</v>
      </c>
      <c r="E9" s="4" t="s">
        <v>12</v>
      </c>
      <c r="F9" s="7" t="s">
        <v>13</v>
      </c>
      <c r="G9" s="26" t="s">
        <v>32</v>
      </c>
    </row>
    <row r="10" spans="1:7" x14ac:dyDescent="0.2">
      <c r="A10" s="3" t="s">
        <v>8</v>
      </c>
      <c r="B10">
        <v>4</v>
      </c>
      <c r="C10" s="3">
        <v>1</v>
      </c>
      <c r="D10" s="3">
        <v>105</v>
      </c>
      <c r="E10" s="3">
        <f>2185.9-1691.3</f>
        <v>494.60000000000014</v>
      </c>
      <c r="F10" s="8">
        <f>LOG10(4*D10/E10*1000)</f>
        <v>2.928995178372622</v>
      </c>
      <c r="G10" s="27">
        <f>LOG(4*D10)</f>
        <v>2.6232492903979003</v>
      </c>
    </row>
    <row r="11" spans="1:7" x14ac:dyDescent="0.2">
      <c r="A11" s="3" t="s">
        <v>9</v>
      </c>
      <c r="B11">
        <v>1</v>
      </c>
      <c r="C11" s="3">
        <v>1</v>
      </c>
      <c r="D11" s="3">
        <v>6</v>
      </c>
      <c r="E11" s="3">
        <f>2701.3-1673.7</f>
        <v>1027.6000000000001</v>
      </c>
      <c r="F11" s="8">
        <f>LOG10(4*D11/E11*1000)</f>
        <v>1.3683871461172974</v>
      </c>
      <c r="G11" s="27">
        <f t="shared" ref="G11:G14" si="2">LOG(4*D11)</f>
        <v>1.3802112417116059</v>
      </c>
    </row>
    <row r="12" spans="1:7" x14ac:dyDescent="0.2">
      <c r="A12" s="3" t="s">
        <v>10</v>
      </c>
      <c r="B12">
        <v>0</v>
      </c>
      <c r="C12" s="3">
        <v>1</v>
      </c>
      <c r="D12" s="3">
        <v>0</v>
      </c>
      <c r="E12" s="3">
        <f>2526.8-1745.9</f>
        <v>780.90000000000009</v>
      </c>
      <c r="F12" s="8" t="e">
        <f t="shared" ref="F12:F15" si="3">LOG10(4*D12/E12*1000)</f>
        <v>#NUM!</v>
      </c>
      <c r="G12" s="27" t="e">
        <f t="shared" si="2"/>
        <v>#NUM!</v>
      </c>
    </row>
    <row r="13" spans="1:7" x14ac:dyDescent="0.2">
      <c r="A13" s="3" t="s">
        <v>11</v>
      </c>
      <c r="B13">
        <v>0</v>
      </c>
      <c r="C13" s="3">
        <v>1</v>
      </c>
      <c r="D13" s="3">
        <v>0</v>
      </c>
      <c r="E13" s="3">
        <f>1934.9-1767</f>
        <v>167.90000000000009</v>
      </c>
      <c r="F13" s="8" t="e">
        <f t="shared" si="3"/>
        <v>#NUM!</v>
      </c>
      <c r="G13" s="27" t="e">
        <f t="shared" si="2"/>
        <v>#NUM!</v>
      </c>
    </row>
    <row r="14" spans="1:7" ht="17" x14ac:dyDescent="0.2">
      <c r="A14" s="4" t="s">
        <v>15</v>
      </c>
      <c r="B14">
        <v>0</v>
      </c>
      <c r="C14" s="4">
        <v>1</v>
      </c>
      <c r="D14" s="4">
        <v>0</v>
      </c>
      <c r="E14" s="4">
        <f>1859.7-1744.2</f>
        <v>115.5</v>
      </c>
      <c r="F14" s="8" t="e">
        <f t="shared" si="3"/>
        <v>#NUM!</v>
      </c>
      <c r="G14" s="27" t="e">
        <f t="shared" si="2"/>
        <v>#NUM!</v>
      </c>
    </row>
    <row r="15" spans="1:7" ht="34" x14ac:dyDescent="0.2">
      <c r="A15" s="4" t="s">
        <v>30</v>
      </c>
      <c r="B15" t="s">
        <v>31</v>
      </c>
      <c r="C15" s="3">
        <v>1</v>
      </c>
      <c r="D15" s="3">
        <v>0</v>
      </c>
      <c r="E15" s="3"/>
      <c r="F15" s="8"/>
    </row>
    <row r="16" spans="1:7" x14ac:dyDescent="0.2">
      <c r="A16" s="3"/>
      <c r="C16" s="3"/>
      <c r="D16" s="3"/>
      <c r="E16" s="3"/>
      <c r="F16" s="8"/>
    </row>
    <row r="17" spans="1:7" ht="51" x14ac:dyDescent="0.2">
      <c r="A17" s="2" t="s">
        <v>19</v>
      </c>
      <c r="B17" s="4" t="s">
        <v>0</v>
      </c>
      <c r="C17" s="4" t="s">
        <v>1</v>
      </c>
      <c r="D17" s="4" t="s">
        <v>27</v>
      </c>
      <c r="E17" s="4" t="s">
        <v>12</v>
      </c>
      <c r="F17" s="7" t="s">
        <v>13</v>
      </c>
      <c r="G17" s="26" t="s">
        <v>32</v>
      </c>
    </row>
    <row r="18" spans="1:7" x14ac:dyDescent="0.2">
      <c r="A18" s="3" t="s">
        <v>8</v>
      </c>
      <c r="B18">
        <v>0</v>
      </c>
      <c r="C18" s="3">
        <v>1</v>
      </c>
      <c r="D18" s="3">
        <v>0</v>
      </c>
      <c r="E18" s="3">
        <f>1965.2-1633.5</f>
        <v>331.70000000000005</v>
      </c>
      <c r="F18" s="8" t="e">
        <f>LOG10(4*D18/E18*1000)</f>
        <v>#NUM!</v>
      </c>
      <c r="G18" s="27" t="e">
        <f>LOG(4*D18)</f>
        <v>#NUM!</v>
      </c>
    </row>
    <row r="19" spans="1:7" x14ac:dyDescent="0.2">
      <c r="A19" s="3" t="s">
        <v>9</v>
      </c>
      <c r="B19">
        <v>6</v>
      </c>
      <c r="C19" s="3">
        <v>1</v>
      </c>
      <c r="D19" s="3">
        <v>147</v>
      </c>
      <c r="E19" s="3">
        <f>2920.5-1774.3</f>
        <v>1146.2</v>
      </c>
      <c r="F19" s="8">
        <f>LOG10(4*D19/E19*1000)</f>
        <v>2.7101169219544077</v>
      </c>
      <c r="G19" s="27">
        <f t="shared" ref="G19:G22" si="4">LOG(4*D19)</f>
        <v>2.7693773260761385</v>
      </c>
    </row>
    <row r="20" spans="1:7" x14ac:dyDescent="0.2">
      <c r="A20" s="3" t="s">
        <v>10</v>
      </c>
      <c r="B20">
        <v>0</v>
      </c>
      <c r="C20" s="3">
        <v>1</v>
      </c>
      <c r="D20" s="3">
        <v>0</v>
      </c>
      <c r="E20" s="3">
        <f>2538.5-1796.1</f>
        <v>742.40000000000009</v>
      </c>
      <c r="F20" s="8" t="e">
        <f t="shared" ref="F20:F23" si="5">LOG10(4*D20/E20*1000)</f>
        <v>#NUM!</v>
      </c>
      <c r="G20" s="27" t="e">
        <f t="shared" si="4"/>
        <v>#NUM!</v>
      </c>
    </row>
    <row r="21" spans="1:7" x14ac:dyDescent="0.2">
      <c r="A21" s="3" t="s">
        <v>11</v>
      </c>
      <c r="B21">
        <v>0</v>
      </c>
      <c r="C21" s="3">
        <v>1</v>
      </c>
      <c r="D21" s="3">
        <v>0</v>
      </c>
      <c r="E21" s="3">
        <f>1942.5-1776.8</f>
        <v>165.70000000000005</v>
      </c>
      <c r="F21" s="8" t="e">
        <f t="shared" si="5"/>
        <v>#NUM!</v>
      </c>
      <c r="G21" s="27" t="e">
        <f t="shared" si="4"/>
        <v>#NUM!</v>
      </c>
    </row>
    <row r="22" spans="1:7" ht="17" x14ac:dyDescent="0.2">
      <c r="A22" s="4" t="s">
        <v>15</v>
      </c>
      <c r="B22">
        <v>0</v>
      </c>
      <c r="C22" s="4">
        <v>1</v>
      </c>
      <c r="D22" s="4">
        <v>0</v>
      </c>
      <c r="E22" s="4">
        <f>1792.6-1701.6</f>
        <v>91</v>
      </c>
      <c r="F22" s="8" t="e">
        <f t="shared" si="5"/>
        <v>#NUM!</v>
      </c>
      <c r="G22" s="27" t="e">
        <f t="shared" si="4"/>
        <v>#NUM!</v>
      </c>
    </row>
    <row r="23" spans="1:7" ht="17" x14ac:dyDescent="0.2">
      <c r="A23" s="4" t="s">
        <v>16</v>
      </c>
      <c r="B23">
        <v>0</v>
      </c>
      <c r="C23" s="3">
        <v>1</v>
      </c>
      <c r="D23" s="3">
        <v>0</v>
      </c>
      <c r="E23" s="3">
        <f>1893.1-1815.9</f>
        <v>77.199999999999818</v>
      </c>
      <c r="F23" s="8" t="e">
        <f t="shared" si="5"/>
        <v>#NUM!</v>
      </c>
      <c r="G23" s="27" t="e">
        <f>LOG(4*D23)</f>
        <v>#NUM!</v>
      </c>
    </row>
    <row r="24" spans="1:7" x14ac:dyDescent="0.2">
      <c r="A24" s="3"/>
      <c r="C24" s="3"/>
      <c r="D24" s="3"/>
      <c r="E24" s="3"/>
      <c r="F24" s="8"/>
    </row>
    <row r="25" spans="1:7" ht="51" x14ac:dyDescent="0.2">
      <c r="A25" s="2" t="s">
        <v>20</v>
      </c>
      <c r="B25" s="4" t="s">
        <v>0</v>
      </c>
      <c r="C25" s="4" t="s">
        <v>1</v>
      </c>
      <c r="D25" s="4" t="s">
        <v>27</v>
      </c>
      <c r="E25" s="4" t="s">
        <v>12</v>
      </c>
      <c r="F25" s="7" t="s">
        <v>13</v>
      </c>
      <c r="G25" s="26" t="s">
        <v>32</v>
      </c>
    </row>
    <row r="26" spans="1:7" x14ac:dyDescent="0.2">
      <c r="A26" s="3" t="s">
        <v>8</v>
      </c>
      <c r="B26">
        <v>0</v>
      </c>
      <c r="C26" s="3">
        <v>1</v>
      </c>
      <c r="D26" s="3">
        <v>0</v>
      </c>
      <c r="E26" s="3">
        <f>2340.4-1854.9</f>
        <v>485.5</v>
      </c>
      <c r="F26" s="8" t="e">
        <f>LOG10(4*D26/E26*1000)</f>
        <v>#NUM!</v>
      </c>
      <c r="G26" s="27" t="e">
        <f>LOG(4*D26)</f>
        <v>#NUM!</v>
      </c>
    </row>
    <row r="27" spans="1:7" x14ac:dyDescent="0.2">
      <c r="A27" s="3" t="s">
        <v>9</v>
      </c>
      <c r="B27">
        <v>0</v>
      </c>
      <c r="C27" s="3">
        <v>1</v>
      </c>
      <c r="D27" s="3">
        <v>6</v>
      </c>
      <c r="E27" s="3">
        <f>3205.3-1891.3</f>
        <v>1314.0000000000002</v>
      </c>
      <c r="F27" s="8">
        <f>LOG10(4*D27/E27*1000)</f>
        <v>1.261615876487844</v>
      </c>
      <c r="G27" s="27">
        <f t="shared" ref="G27:G30" si="6">LOG(4*D27)</f>
        <v>1.3802112417116059</v>
      </c>
    </row>
    <row r="28" spans="1:7" x14ac:dyDescent="0.2">
      <c r="A28" s="3" t="s">
        <v>10</v>
      </c>
      <c r="B28">
        <v>0</v>
      </c>
      <c r="C28" s="3">
        <v>1</v>
      </c>
      <c r="D28" s="3">
        <v>0</v>
      </c>
      <c r="E28" s="3">
        <f>2564-1728.1</f>
        <v>835.90000000000009</v>
      </c>
      <c r="F28" s="8" t="e">
        <f t="shared" ref="F28:F31" si="7">LOG10(4*D28/E28*1000)</f>
        <v>#NUM!</v>
      </c>
      <c r="G28" s="27" t="e">
        <f t="shared" si="6"/>
        <v>#NUM!</v>
      </c>
    </row>
    <row r="29" spans="1:7" x14ac:dyDescent="0.2">
      <c r="A29" s="3" t="s">
        <v>11</v>
      </c>
      <c r="B29">
        <v>0</v>
      </c>
      <c r="C29" s="3">
        <v>1</v>
      </c>
      <c r="D29" s="3">
        <v>0</v>
      </c>
      <c r="E29" s="3">
        <f>1961.7-1834.1</f>
        <v>127.60000000000014</v>
      </c>
      <c r="F29" s="8" t="e">
        <f t="shared" si="7"/>
        <v>#NUM!</v>
      </c>
      <c r="G29" s="27" t="e">
        <f t="shared" si="6"/>
        <v>#NUM!</v>
      </c>
    </row>
    <row r="30" spans="1:7" ht="17" x14ac:dyDescent="0.2">
      <c r="A30" s="4" t="s">
        <v>15</v>
      </c>
      <c r="B30">
        <v>0</v>
      </c>
      <c r="C30" s="4">
        <v>1</v>
      </c>
      <c r="D30" s="4">
        <v>0</v>
      </c>
      <c r="E30" s="4">
        <f>1821.6-1793.2</f>
        <v>28.399999999999864</v>
      </c>
      <c r="F30" s="8" t="e">
        <f t="shared" si="7"/>
        <v>#NUM!</v>
      </c>
      <c r="G30" s="27" t="e">
        <f t="shared" si="6"/>
        <v>#NUM!</v>
      </c>
    </row>
    <row r="31" spans="1:7" ht="17" x14ac:dyDescent="0.2">
      <c r="A31" s="4" t="s">
        <v>16</v>
      </c>
      <c r="B31">
        <v>0</v>
      </c>
      <c r="C31" s="3">
        <v>1</v>
      </c>
      <c r="D31" s="3">
        <v>0</v>
      </c>
      <c r="E31" s="3">
        <f>1931.4-1790</f>
        <v>141.40000000000009</v>
      </c>
      <c r="F31" s="8" t="e">
        <f t="shared" si="7"/>
        <v>#NUM!</v>
      </c>
      <c r="G31" s="27" t="e">
        <f>LOG(4*D31)</f>
        <v>#NUM!</v>
      </c>
    </row>
    <row r="32" spans="1:7" x14ac:dyDescent="0.2">
      <c r="A32" s="3"/>
      <c r="C32" s="3"/>
      <c r="D32" s="3"/>
      <c r="E32" s="3"/>
      <c r="F32" s="8"/>
    </row>
    <row r="33" spans="1:7" ht="51" x14ac:dyDescent="0.2">
      <c r="A33" s="2" t="s">
        <v>21</v>
      </c>
      <c r="B33" s="4" t="s">
        <v>0</v>
      </c>
      <c r="C33" s="4" t="s">
        <v>1</v>
      </c>
      <c r="D33" s="4" t="s">
        <v>27</v>
      </c>
      <c r="E33" s="4" t="s">
        <v>12</v>
      </c>
      <c r="F33" s="7" t="s">
        <v>13</v>
      </c>
      <c r="G33" s="26" t="s">
        <v>32</v>
      </c>
    </row>
    <row r="34" spans="1:7" x14ac:dyDescent="0.2">
      <c r="A34" s="3" t="s">
        <v>8</v>
      </c>
      <c r="B34">
        <v>14</v>
      </c>
      <c r="C34" s="3">
        <v>10</v>
      </c>
      <c r="D34" s="25" t="s">
        <v>29</v>
      </c>
      <c r="E34" s="3">
        <f>2323-1879.3</f>
        <v>443.70000000000005</v>
      </c>
      <c r="F34" s="8">
        <f>LOG10(100*C34*B34/E34*1000)</f>
        <v>4.4990386069616832</v>
      </c>
      <c r="G34" s="27">
        <f>LOG10(100*C34*B34)</f>
        <v>4.1461280356782382</v>
      </c>
    </row>
    <row r="35" spans="1:7" x14ac:dyDescent="0.2">
      <c r="A35" s="3" t="s">
        <v>9</v>
      </c>
      <c r="B35">
        <v>0</v>
      </c>
      <c r="C35" s="3">
        <v>1</v>
      </c>
      <c r="D35" s="3">
        <v>1</v>
      </c>
      <c r="E35" s="3">
        <f>3046.3-1729.2</f>
        <v>1317.1000000000001</v>
      </c>
      <c r="F35" s="8">
        <f>LOG10(4*D35/E35*1000)</f>
        <v>0.48244124157538759</v>
      </c>
      <c r="G35" s="27">
        <f>LOG(4*D35)</f>
        <v>0.6020599913279624</v>
      </c>
    </row>
    <row r="36" spans="1:7" x14ac:dyDescent="0.2">
      <c r="A36" s="3" t="s">
        <v>10</v>
      </c>
      <c r="B36">
        <v>0</v>
      </c>
      <c r="C36" s="3">
        <v>1</v>
      </c>
      <c r="D36" s="3">
        <v>0</v>
      </c>
      <c r="E36" s="3">
        <f>2597.5-1787.5</f>
        <v>810</v>
      </c>
      <c r="F36" s="8" t="e">
        <f t="shared" ref="F36:F39" si="8">LOG10(4*D36/E36*1000)</f>
        <v>#NUM!</v>
      </c>
      <c r="G36" s="27" t="e">
        <f t="shared" ref="G36:G39" si="9">LOG(4*D36)</f>
        <v>#NUM!</v>
      </c>
    </row>
    <row r="37" spans="1:7" x14ac:dyDescent="0.2">
      <c r="A37" s="3" t="s">
        <v>11</v>
      </c>
      <c r="B37">
        <v>0</v>
      </c>
      <c r="C37" s="3">
        <v>1</v>
      </c>
      <c r="D37" s="3">
        <v>0</v>
      </c>
      <c r="E37" s="3">
        <f>1904.3-1766.5</f>
        <v>137.79999999999995</v>
      </c>
      <c r="F37" s="8" t="e">
        <f t="shared" si="8"/>
        <v>#NUM!</v>
      </c>
      <c r="G37" s="27" t="e">
        <f t="shared" si="9"/>
        <v>#NUM!</v>
      </c>
    </row>
    <row r="38" spans="1:7" ht="17" x14ac:dyDescent="0.2">
      <c r="A38" s="4" t="s">
        <v>15</v>
      </c>
      <c r="B38">
        <v>0</v>
      </c>
      <c r="C38" s="4">
        <v>1</v>
      </c>
      <c r="D38" s="4">
        <v>0</v>
      </c>
      <c r="E38" s="4">
        <f>1913.1-1806.3</f>
        <v>106.79999999999995</v>
      </c>
      <c r="F38" s="8" t="e">
        <f t="shared" si="8"/>
        <v>#NUM!</v>
      </c>
      <c r="G38" s="27" t="e">
        <f t="shared" si="9"/>
        <v>#NUM!</v>
      </c>
    </row>
    <row r="39" spans="1:7" ht="17" x14ac:dyDescent="0.2">
      <c r="A39" s="4" t="s">
        <v>16</v>
      </c>
      <c r="B39">
        <v>0</v>
      </c>
      <c r="C39" s="3">
        <v>1</v>
      </c>
      <c r="D39" s="3">
        <v>0</v>
      </c>
      <c r="E39" s="3">
        <f>1754.7-1715.7</f>
        <v>39</v>
      </c>
      <c r="F39" s="8" t="e">
        <f t="shared" si="8"/>
        <v>#NUM!</v>
      </c>
      <c r="G39" s="27" t="e">
        <f t="shared" si="9"/>
        <v>#NUM!</v>
      </c>
    </row>
    <row r="40" spans="1:7" x14ac:dyDescent="0.2">
      <c r="A40" s="3"/>
      <c r="C40" s="3"/>
      <c r="D40" s="3"/>
      <c r="E40" s="3"/>
      <c r="F40" s="8"/>
    </row>
    <row r="42" spans="1:7" x14ac:dyDescent="0.2">
      <c r="A42" s="2"/>
      <c r="B42" s="4"/>
      <c r="C42" s="4"/>
      <c r="D42" s="4"/>
      <c r="E42" s="4"/>
      <c r="F42" s="7"/>
    </row>
    <row r="43" spans="1:7" x14ac:dyDescent="0.2">
      <c r="A43" s="3"/>
      <c r="C43" s="3"/>
      <c r="D43" s="3"/>
      <c r="E43" s="3"/>
      <c r="F43" s="8"/>
    </row>
    <row r="44" spans="1:7" x14ac:dyDescent="0.2">
      <c r="A44" s="3"/>
      <c r="C44" s="3"/>
      <c r="D44" s="3"/>
      <c r="E44" s="3"/>
      <c r="F44" s="8"/>
    </row>
    <row r="45" spans="1:7" x14ac:dyDescent="0.2">
      <c r="A45" s="3"/>
      <c r="C45" s="3"/>
      <c r="D45" s="3"/>
      <c r="E45" s="3"/>
      <c r="F45" s="8"/>
    </row>
    <row r="46" spans="1:7" x14ac:dyDescent="0.2">
      <c r="A46" s="3"/>
      <c r="C46" s="3"/>
      <c r="D46" s="3"/>
      <c r="E46" s="3"/>
      <c r="F46" s="8"/>
    </row>
    <row r="47" spans="1:7" x14ac:dyDescent="0.2">
      <c r="A47" s="4"/>
      <c r="C47" s="4"/>
      <c r="D47" s="4"/>
      <c r="E47" s="4"/>
      <c r="F47" s="8"/>
    </row>
    <row r="48" spans="1:7" x14ac:dyDescent="0.2">
      <c r="A48" s="3"/>
      <c r="C48" s="3"/>
      <c r="D48" s="3"/>
      <c r="E48" s="3"/>
      <c r="F48" s="8"/>
    </row>
    <row r="49" spans="1:6" x14ac:dyDescent="0.2">
      <c r="A49" s="3"/>
      <c r="C49" s="3"/>
      <c r="D49" s="3"/>
      <c r="E49" s="3"/>
      <c r="F49" s="8"/>
    </row>
    <row r="50" spans="1:6" x14ac:dyDescent="0.2">
      <c r="A50" s="3"/>
      <c r="C50" s="3"/>
      <c r="D50" s="3"/>
      <c r="E50" s="3"/>
      <c r="F50" s="8"/>
    </row>
    <row r="51" spans="1:6" x14ac:dyDescent="0.2">
      <c r="A51" s="3"/>
      <c r="C51" s="3"/>
      <c r="D51" s="3"/>
      <c r="E51" s="3"/>
      <c r="F51" s="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619DB-750C-3C4C-9160-45B4DE16CF0A}">
  <dimension ref="A1:G51"/>
  <sheetViews>
    <sheetView tabSelected="1" topLeftCell="A13" zoomScale="81" workbookViewId="0">
      <selection activeCell="E40" sqref="E40"/>
    </sheetView>
  </sheetViews>
  <sheetFormatPr baseColWidth="10" defaultRowHeight="16" x14ac:dyDescent="0.2"/>
  <cols>
    <col min="1" max="1" width="19" customWidth="1"/>
    <col min="7" max="7" width="10.83203125" style="27"/>
  </cols>
  <sheetData>
    <row r="1" spans="1:7" ht="51" x14ac:dyDescent="0.2">
      <c r="A1" s="2" t="s">
        <v>22</v>
      </c>
      <c r="B1" s="4" t="s">
        <v>28</v>
      </c>
      <c r="C1" s="4" t="s">
        <v>1</v>
      </c>
      <c r="D1" s="4" t="s">
        <v>27</v>
      </c>
      <c r="E1" s="4" t="s">
        <v>12</v>
      </c>
      <c r="F1" s="7" t="s">
        <v>13</v>
      </c>
      <c r="G1" s="26" t="s">
        <v>32</v>
      </c>
    </row>
    <row r="2" spans="1:7" x14ac:dyDescent="0.2">
      <c r="A2" s="3" t="s">
        <v>8</v>
      </c>
      <c r="B2">
        <v>0</v>
      </c>
      <c r="C2" s="3">
        <v>1</v>
      </c>
      <c r="D2" s="25">
        <v>1</v>
      </c>
      <c r="E2" s="3">
        <f>2081.6-1894.9</f>
        <v>186.69999999999982</v>
      </c>
      <c r="F2" s="8">
        <f>LOG10(4*D2/E2*1000)</f>
        <v>1.3309156733788845</v>
      </c>
      <c r="G2" s="27">
        <f>LOG(4*D2)</f>
        <v>0.6020599913279624</v>
      </c>
    </row>
    <row r="3" spans="1:7" x14ac:dyDescent="0.2">
      <c r="A3" s="3" t="s">
        <v>9</v>
      </c>
      <c r="B3">
        <v>0</v>
      </c>
      <c r="C3" s="3">
        <v>1</v>
      </c>
      <c r="D3" s="3">
        <v>4</v>
      </c>
      <c r="E3" s="3">
        <f>2776-1725.8</f>
        <v>1050.2</v>
      </c>
      <c r="F3" s="8">
        <f>LOG10(4*D3/E3*1000)</f>
        <v>1.1828479687048865</v>
      </c>
      <c r="G3" s="27">
        <f>LOG(4*D3)</f>
        <v>1.2041199826559248</v>
      </c>
    </row>
    <row r="4" spans="1:7" x14ac:dyDescent="0.2">
      <c r="A4" s="3" t="s">
        <v>10</v>
      </c>
      <c r="B4">
        <v>0</v>
      </c>
      <c r="C4" s="3">
        <v>1</v>
      </c>
      <c r="D4" s="3">
        <v>0</v>
      </c>
      <c r="E4" s="3">
        <f>2418-1835.9</f>
        <v>582.09999999999991</v>
      </c>
      <c r="F4" s="8" t="e">
        <f t="shared" ref="F4:F7" si="0">LOG10(4*D4/E4*1000)</f>
        <v>#NUM!</v>
      </c>
      <c r="G4" s="27" t="e">
        <f t="shared" ref="G4:G7" si="1">LOG(4*D4)</f>
        <v>#NUM!</v>
      </c>
    </row>
    <row r="5" spans="1:7" x14ac:dyDescent="0.2">
      <c r="A5" s="3" t="s">
        <v>11</v>
      </c>
      <c r="B5">
        <v>0</v>
      </c>
      <c r="C5" s="3">
        <v>1</v>
      </c>
      <c r="D5" s="3">
        <v>0</v>
      </c>
      <c r="E5" s="3">
        <f>1908.3-1776</f>
        <v>132.29999999999995</v>
      </c>
      <c r="F5" s="8" t="e">
        <f t="shared" si="0"/>
        <v>#NUM!</v>
      </c>
      <c r="G5" s="27" t="e">
        <f t="shared" si="1"/>
        <v>#NUM!</v>
      </c>
    </row>
    <row r="6" spans="1:7" ht="17" x14ac:dyDescent="0.2">
      <c r="A6" s="4" t="s">
        <v>15</v>
      </c>
      <c r="B6">
        <v>0</v>
      </c>
      <c r="C6" s="4">
        <v>1</v>
      </c>
      <c r="D6" s="4">
        <v>0</v>
      </c>
      <c r="E6" s="4">
        <f>1931.6-1815.5</f>
        <v>116.09999999999991</v>
      </c>
      <c r="F6" s="8" t="e">
        <f t="shared" si="0"/>
        <v>#NUM!</v>
      </c>
      <c r="G6" s="27" t="e">
        <f t="shared" si="1"/>
        <v>#NUM!</v>
      </c>
    </row>
    <row r="7" spans="1:7" ht="17" x14ac:dyDescent="0.2">
      <c r="A7" s="4" t="s">
        <v>16</v>
      </c>
      <c r="B7">
        <v>0</v>
      </c>
      <c r="C7" s="3">
        <v>1</v>
      </c>
      <c r="D7" s="3">
        <v>0</v>
      </c>
      <c r="E7" s="3">
        <f>1982.4-1789</f>
        <v>193.40000000000009</v>
      </c>
      <c r="F7" s="8" t="e">
        <f t="shared" si="0"/>
        <v>#NUM!</v>
      </c>
      <c r="G7" s="27" t="e">
        <f t="shared" si="1"/>
        <v>#NUM!</v>
      </c>
    </row>
    <row r="8" spans="1:7" x14ac:dyDescent="0.2">
      <c r="C8" s="3"/>
      <c r="D8" s="3"/>
      <c r="E8" s="3"/>
      <c r="F8" s="8"/>
    </row>
    <row r="9" spans="1:7" ht="51" x14ac:dyDescent="0.2">
      <c r="A9" s="2" t="s">
        <v>23</v>
      </c>
      <c r="B9" s="4" t="s">
        <v>0</v>
      </c>
      <c r="C9" s="4" t="s">
        <v>1</v>
      </c>
      <c r="D9" s="4" t="s">
        <v>27</v>
      </c>
      <c r="E9" s="4" t="s">
        <v>12</v>
      </c>
      <c r="F9" s="7" t="s">
        <v>13</v>
      </c>
      <c r="G9" s="26" t="s">
        <v>32</v>
      </c>
    </row>
    <row r="10" spans="1:7" x14ac:dyDescent="0.2">
      <c r="A10" s="3" t="s">
        <v>8</v>
      </c>
      <c r="B10">
        <v>0</v>
      </c>
      <c r="C10" s="3">
        <v>1</v>
      </c>
      <c r="D10" s="3">
        <v>6</v>
      </c>
      <c r="E10" s="3">
        <f>2184.2-1852.7</f>
        <v>331.49999999999977</v>
      </c>
      <c r="F10" s="8">
        <f>LOG10(4*D10/E10*1000)</f>
        <v>1.8597277089708144</v>
      </c>
      <c r="G10" s="27">
        <f>LOG(4*D10)</f>
        <v>1.3802112417116059</v>
      </c>
    </row>
    <row r="11" spans="1:7" x14ac:dyDescent="0.2">
      <c r="A11" s="3" t="s">
        <v>9</v>
      </c>
      <c r="B11">
        <v>0</v>
      </c>
      <c r="C11" s="3">
        <v>1</v>
      </c>
      <c r="D11" s="3">
        <v>0</v>
      </c>
      <c r="E11" s="3">
        <f>2784.5-1869.7</f>
        <v>914.8</v>
      </c>
      <c r="F11" s="8" t="e">
        <f>LOG10(4*D11/E11*1000)</f>
        <v>#NUM!</v>
      </c>
      <c r="G11" s="27" t="e">
        <f t="shared" ref="G11:G14" si="2">LOG(4*D11)</f>
        <v>#NUM!</v>
      </c>
    </row>
    <row r="12" spans="1:7" x14ac:dyDescent="0.2">
      <c r="A12" s="3" t="s">
        <v>10</v>
      </c>
      <c r="B12">
        <v>0</v>
      </c>
      <c r="C12" s="3">
        <v>1</v>
      </c>
      <c r="D12" s="3">
        <v>0</v>
      </c>
      <c r="E12" s="3">
        <f>2412.7-1891.1</f>
        <v>521.59999999999991</v>
      </c>
      <c r="F12" s="8" t="e">
        <f t="shared" ref="F12:F14" si="3">LOG10(4*D12/E12*1000)</f>
        <v>#NUM!</v>
      </c>
      <c r="G12" s="27" t="e">
        <f t="shared" si="2"/>
        <v>#NUM!</v>
      </c>
    </row>
    <row r="13" spans="1:7" x14ac:dyDescent="0.2">
      <c r="A13" s="3" t="s">
        <v>11</v>
      </c>
      <c r="B13">
        <v>0</v>
      </c>
      <c r="C13" s="3">
        <v>1</v>
      </c>
      <c r="D13" s="3">
        <v>0</v>
      </c>
      <c r="E13" s="3">
        <f>1945.2-1789.7</f>
        <v>155.5</v>
      </c>
      <c r="F13" s="8" t="e">
        <f t="shared" si="3"/>
        <v>#NUM!</v>
      </c>
      <c r="G13" s="27" t="e">
        <f t="shared" si="2"/>
        <v>#NUM!</v>
      </c>
    </row>
    <row r="14" spans="1:7" ht="17" x14ac:dyDescent="0.2">
      <c r="A14" s="4" t="s">
        <v>15</v>
      </c>
      <c r="B14">
        <v>0</v>
      </c>
      <c r="C14" s="4">
        <v>1</v>
      </c>
      <c r="D14" s="4">
        <v>0</v>
      </c>
      <c r="E14" s="4">
        <f>1975.4-1820.3</f>
        <v>155.10000000000014</v>
      </c>
      <c r="F14" s="8" t="e">
        <f t="shared" si="3"/>
        <v>#NUM!</v>
      </c>
      <c r="G14" s="27" t="e">
        <f t="shared" si="2"/>
        <v>#NUM!</v>
      </c>
    </row>
    <row r="15" spans="1:7" ht="17" x14ac:dyDescent="0.2">
      <c r="A15" s="4" t="s">
        <v>16</v>
      </c>
      <c r="B15">
        <v>0</v>
      </c>
      <c r="C15" s="3">
        <v>1</v>
      </c>
      <c r="D15" s="3">
        <v>0</v>
      </c>
      <c r="E15" s="3">
        <f>2030.3-1906.8</f>
        <v>123.5</v>
      </c>
      <c r="F15" s="8" t="e">
        <f t="shared" ref="F15" si="4">LOG10(4*D15/E15*1000)</f>
        <v>#NUM!</v>
      </c>
      <c r="G15" s="27" t="e">
        <f t="shared" ref="G15" si="5">LOG(4*D15)</f>
        <v>#NUM!</v>
      </c>
    </row>
    <row r="16" spans="1:7" x14ac:dyDescent="0.2">
      <c r="A16" s="3"/>
      <c r="C16" s="3"/>
      <c r="D16" s="3"/>
      <c r="E16" s="3"/>
      <c r="F16" s="8"/>
    </row>
    <row r="17" spans="1:7" ht="51" x14ac:dyDescent="0.2">
      <c r="A17" s="2" t="s">
        <v>24</v>
      </c>
      <c r="B17" s="4" t="s">
        <v>0</v>
      </c>
      <c r="C17" s="4" t="s">
        <v>1</v>
      </c>
      <c r="D17" s="4" t="s">
        <v>27</v>
      </c>
      <c r="E17" s="4" t="s">
        <v>12</v>
      </c>
      <c r="F17" s="7" t="s">
        <v>13</v>
      </c>
      <c r="G17" s="26" t="s">
        <v>32</v>
      </c>
    </row>
    <row r="18" spans="1:7" x14ac:dyDescent="0.2">
      <c r="A18" s="3" t="s">
        <v>8</v>
      </c>
      <c r="B18">
        <v>0</v>
      </c>
      <c r="C18" s="3">
        <v>1</v>
      </c>
      <c r="D18" s="3">
        <v>1</v>
      </c>
      <c r="E18" s="3">
        <f>2155.2-1854.5</f>
        <v>300.69999999999982</v>
      </c>
      <c r="F18" s="8">
        <f>LOG10(4*D18/E18*1000)</f>
        <v>1.1239265632274451</v>
      </c>
      <c r="G18" s="27">
        <f>LOG(4*D18)</f>
        <v>0.6020599913279624</v>
      </c>
    </row>
    <row r="19" spans="1:7" x14ac:dyDescent="0.2">
      <c r="A19" s="3" t="s">
        <v>9</v>
      </c>
      <c r="B19">
        <v>19</v>
      </c>
      <c r="C19" s="3">
        <v>10</v>
      </c>
      <c r="D19" s="25" t="s">
        <v>29</v>
      </c>
      <c r="E19" s="3">
        <f>2676.5-1730.4</f>
        <v>946.09999999999991</v>
      </c>
      <c r="F19" s="8">
        <f>LOG10(100*C19*B19/E19*1000)</f>
        <v>4.3028165584697184</v>
      </c>
      <c r="G19" s="27">
        <f>LOG(100*C19*B19)</f>
        <v>4.2787536009528289</v>
      </c>
    </row>
    <row r="20" spans="1:7" x14ac:dyDescent="0.2">
      <c r="A20" s="3" t="s">
        <v>10</v>
      </c>
      <c r="B20">
        <v>0</v>
      </c>
      <c r="C20" s="3">
        <v>1</v>
      </c>
      <c r="D20" s="3">
        <v>0</v>
      </c>
      <c r="E20" s="3">
        <f>2712.6-1889.8</f>
        <v>822.8</v>
      </c>
      <c r="F20" s="8" t="e">
        <f t="shared" ref="F20:F23" si="6">LOG10(4*D20/E20*1000)</f>
        <v>#NUM!</v>
      </c>
      <c r="G20" s="27" t="e">
        <f t="shared" ref="G19:G22" si="7">LOG(4*D20)</f>
        <v>#NUM!</v>
      </c>
    </row>
    <row r="21" spans="1:7" x14ac:dyDescent="0.2">
      <c r="A21" s="3" t="s">
        <v>11</v>
      </c>
      <c r="B21">
        <v>0</v>
      </c>
      <c r="C21" s="3">
        <v>1</v>
      </c>
      <c r="D21" s="3">
        <v>0</v>
      </c>
      <c r="E21" s="3">
        <f>1935.4-1802.8</f>
        <v>132.60000000000014</v>
      </c>
      <c r="F21" s="8" t="e">
        <f t="shared" si="6"/>
        <v>#NUM!</v>
      </c>
      <c r="G21" s="27" t="e">
        <f t="shared" si="7"/>
        <v>#NUM!</v>
      </c>
    </row>
    <row r="22" spans="1:7" ht="17" x14ac:dyDescent="0.2">
      <c r="A22" s="4" t="s">
        <v>15</v>
      </c>
      <c r="B22">
        <v>0</v>
      </c>
      <c r="C22" s="4">
        <v>1</v>
      </c>
      <c r="D22" s="4">
        <v>0</v>
      </c>
      <c r="E22" s="4">
        <f>1961.7-1844.6</f>
        <v>117.10000000000014</v>
      </c>
      <c r="F22" s="8" t="e">
        <f t="shared" si="6"/>
        <v>#NUM!</v>
      </c>
      <c r="G22" s="27" t="e">
        <f t="shared" si="7"/>
        <v>#NUM!</v>
      </c>
    </row>
    <row r="23" spans="1:7" ht="17" x14ac:dyDescent="0.2">
      <c r="A23" s="4" t="s">
        <v>16</v>
      </c>
      <c r="B23">
        <v>0</v>
      </c>
      <c r="C23" s="3">
        <v>1</v>
      </c>
      <c r="D23" s="3">
        <v>0</v>
      </c>
      <c r="E23" s="3">
        <f>1929.8-1836.6</f>
        <v>93.200000000000045</v>
      </c>
      <c r="F23" s="8" t="e">
        <f t="shared" si="6"/>
        <v>#NUM!</v>
      </c>
      <c r="G23" s="27" t="e">
        <f>LOG(4*D23)</f>
        <v>#NUM!</v>
      </c>
    </row>
    <row r="24" spans="1:7" x14ac:dyDescent="0.2">
      <c r="A24" s="3"/>
      <c r="C24" s="3"/>
      <c r="D24" s="3"/>
      <c r="E24" s="3"/>
      <c r="F24" s="8"/>
    </row>
    <row r="25" spans="1:7" ht="51" x14ac:dyDescent="0.2">
      <c r="A25" s="2" t="s">
        <v>25</v>
      </c>
      <c r="B25" s="4" t="s">
        <v>0</v>
      </c>
      <c r="C25" s="4" t="s">
        <v>1</v>
      </c>
      <c r="D25" s="4" t="s">
        <v>27</v>
      </c>
      <c r="E25" s="4" t="s">
        <v>12</v>
      </c>
      <c r="F25" s="7" t="s">
        <v>13</v>
      </c>
      <c r="G25" s="26" t="s">
        <v>32</v>
      </c>
    </row>
    <row r="26" spans="1:7" x14ac:dyDescent="0.2">
      <c r="A26" s="3" t="s">
        <v>8</v>
      </c>
      <c r="B26">
        <v>0</v>
      </c>
      <c r="C26" s="3">
        <v>1</v>
      </c>
      <c r="D26" s="3">
        <v>0</v>
      </c>
      <c r="E26" s="3">
        <f>1994.6-1791.8</f>
        <v>202.79999999999995</v>
      </c>
      <c r="F26" s="8" t="e">
        <f>LOG10(4*D26/E26*1000)</f>
        <v>#NUM!</v>
      </c>
      <c r="G26" s="27" t="e">
        <f>LOG(4*D26)</f>
        <v>#NUM!</v>
      </c>
    </row>
    <row r="27" spans="1:7" x14ac:dyDescent="0.2">
      <c r="A27" s="3" t="s">
        <v>9</v>
      </c>
      <c r="B27">
        <v>9</v>
      </c>
      <c r="C27" s="3">
        <v>1</v>
      </c>
      <c r="D27" s="3">
        <v>67</v>
      </c>
      <c r="E27" s="3">
        <f>2771.6-1715.8</f>
        <v>1055.8</v>
      </c>
      <c r="F27" s="8">
        <f>LOG10(4*D27/E27*1000)</f>
        <v>2.404553136363849</v>
      </c>
      <c r="G27" s="27">
        <f t="shared" ref="G27:G30" si="8">LOG(4*D27)</f>
        <v>2.428134794028789</v>
      </c>
    </row>
    <row r="28" spans="1:7" x14ac:dyDescent="0.2">
      <c r="A28" s="3" t="s">
        <v>10</v>
      </c>
      <c r="B28">
        <v>0</v>
      </c>
      <c r="C28" s="3">
        <v>1</v>
      </c>
      <c r="D28" s="3">
        <v>3</v>
      </c>
      <c r="E28" s="3">
        <f>2413.2-1773.9</f>
        <v>639.29999999999973</v>
      </c>
      <c r="F28" s="8">
        <f t="shared" ref="F28:F31" si="9">LOG10(4*D28/E28*1000)</f>
        <v>1.2734765416137606</v>
      </c>
      <c r="G28" s="27">
        <f t="shared" si="8"/>
        <v>1.0791812460476249</v>
      </c>
    </row>
    <row r="29" spans="1:7" x14ac:dyDescent="0.2">
      <c r="A29" s="3" t="s">
        <v>11</v>
      </c>
      <c r="B29">
        <v>0</v>
      </c>
      <c r="C29" s="3">
        <v>1</v>
      </c>
      <c r="D29" s="3">
        <v>0</v>
      </c>
      <c r="E29" s="3">
        <f>1874.1-1726.8</f>
        <v>147.29999999999995</v>
      </c>
      <c r="F29" s="8" t="e">
        <f t="shared" si="9"/>
        <v>#NUM!</v>
      </c>
      <c r="G29" s="27" t="e">
        <f t="shared" si="8"/>
        <v>#NUM!</v>
      </c>
    </row>
    <row r="30" spans="1:7" ht="17" x14ac:dyDescent="0.2">
      <c r="A30" s="4" t="s">
        <v>15</v>
      </c>
      <c r="B30">
        <v>0</v>
      </c>
      <c r="C30" s="4">
        <v>1</v>
      </c>
      <c r="D30" s="4">
        <v>0</v>
      </c>
      <c r="E30" s="4">
        <f>1771-1677.3</f>
        <v>93.700000000000045</v>
      </c>
      <c r="F30" s="8" t="e">
        <f t="shared" si="9"/>
        <v>#NUM!</v>
      </c>
      <c r="G30" s="27" t="e">
        <f t="shared" si="8"/>
        <v>#NUM!</v>
      </c>
    </row>
    <row r="31" spans="1:7" ht="17" x14ac:dyDescent="0.2">
      <c r="A31" s="4" t="s">
        <v>16</v>
      </c>
      <c r="B31">
        <v>0</v>
      </c>
      <c r="C31" s="3">
        <v>1</v>
      </c>
      <c r="D31" s="3">
        <v>0</v>
      </c>
      <c r="E31" s="3">
        <f>1837.6-1813.3</f>
        <v>24.299999999999955</v>
      </c>
      <c r="F31" s="8" t="e">
        <f t="shared" si="9"/>
        <v>#NUM!</v>
      </c>
      <c r="G31" s="27" t="e">
        <f>LOG(4*D31)</f>
        <v>#NUM!</v>
      </c>
    </row>
    <row r="32" spans="1:7" x14ac:dyDescent="0.2">
      <c r="A32" s="3"/>
      <c r="C32" s="3"/>
      <c r="D32" s="3"/>
      <c r="E32" s="3"/>
      <c r="F32" s="8"/>
    </row>
    <row r="33" spans="1:7" ht="51" x14ac:dyDescent="0.2">
      <c r="A33" s="2" t="s">
        <v>26</v>
      </c>
      <c r="B33" s="4" t="s">
        <v>0</v>
      </c>
      <c r="C33" s="4" t="s">
        <v>1</v>
      </c>
      <c r="D33" s="4" t="s">
        <v>27</v>
      </c>
      <c r="E33" s="4" t="s">
        <v>12</v>
      </c>
      <c r="F33" s="7" t="s">
        <v>13</v>
      </c>
      <c r="G33" s="26" t="s">
        <v>32</v>
      </c>
    </row>
    <row r="34" spans="1:7" x14ac:dyDescent="0.2">
      <c r="A34" s="3" t="s">
        <v>8</v>
      </c>
      <c r="B34">
        <v>0</v>
      </c>
      <c r="C34" s="3">
        <v>1</v>
      </c>
      <c r="D34" s="25">
        <v>0</v>
      </c>
      <c r="E34" s="3">
        <f>2174.5-1838.6</f>
        <v>335.90000000000009</v>
      </c>
      <c r="F34" s="8" t="e">
        <f>LOG10(100*C34*B34/E34*1000)</f>
        <v>#NUM!</v>
      </c>
      <c r="G34" s="27" t="e">
        <f>LOG10(100*C34*B34)</f>
        <v>#NUM!</v>
      </c>
    </row>
    <row r="35" spans="1:7" x14ac:dyDescent="0.2">
      <c r="A35" s="3" t="s">
        <v>9</v>
      </c>
      <c r="B35">
        <v>0</v>
      </c>
      <c r="C35" s="3">
        <v>1</v>
      </c>
      <c r="D35" s="3">
        <v>35</v>
      </c>
      <c r="E35" s="3">
        <f>2740.8-1820.9</f>
        <v>919.90000000000009</v>
      </c>
      <c r="F35" s="8">
        <f>LOG10(4*D35/E35*1000)</f>
        <v>2.1823874168203541</v>
      </c>
      <c r="G35" s="27">
        <f>LOG(4*D35)</f>
        <v>2.1461280356782382</v>
      </c>
    </row>
    <row r="36" spans="1:7" x14ac:dyDescent="0.2">
      <c r="A36" s="3" t="s">
        <v>10</v>
      </c>
      <c r="B36">
        <v>1</v>
      </c>
      <c r="C36" s="3">
        <v>1</v>
      </c>
      <c r="D36" s="3">
        <v>15</v>
      </c>
      <c r="E36" s="3">
        <f>2545.8-1783</f>
        <v>762.80000000000018</v>
      </c>
      <c r="F36" s="8">
        <f t="shared" ref="F36:F39" si="10">LOG10(4*D36/E36*1000)</f>
        <v>1.8957405660096756</v>
      </c>
      <c r="G36" s="27">
        <f t="shared" ref="G36:G39" si="11">LOG(4*D36)</f>
        <v>1.7781512503836436</v>
      </c>
    </row>
    <row r="37" spans="1:7" x14ac:dyDescent="0.2">
      <c r="A37" s="3" t="s">
        <v>11</v>
      </c>
      <c r="B37">
        <v>0</v>
      </c>
      <c r="C37" s="3">
        <v>1</v>
      </c>
      <c r="D37" s="3">
        <v>0</v>
      </c>
      <c r="E37" s="3">
        <f>1908.7-1799.1</f>
        <v>109.60000000000014</v>
      </c>
      <c r="F37" s="8" t="e">
        <f t="shared" si="10"/>
        <v>#NUM!</v>
      </c>
      <c r="G37" s="27" t="e">
        <f t="shared" si="11"/>
        <v>#NUM!</v>
      </c>
    </row>
    <row r="38" spans="1:7" ht="17" x14ac:dyDescent="0.2">
      <c r="A38" s="4" t="s">
        <v>15</v>
      </c>
      <c r="B38">
        <v>0</v>
      </c>
      <c r="C38" s="4">
        <v>1</v>
      </c>
      <c r="D38" s="4">
        <v>0</v>
      </c>
      <c r="E38" s="4">
        <f>1908.2-1791.6</f>
        <v>116.60000000000014</v>
      </c>
      <c r="F38" s="8" t="e">
        <f t="shared" si="10"/>
        <v>#NUM!</v>
      </c>
      <c r="G38" s="27" t="e">
        <f t="shared" si="11"/>
        <v>#NUM!</v>
      </c>
    </row>
    <row r="39" spans="1:7" ht="17" x14ac:dyDescent="0.2">
      <c r="A39" s="4" t="s">
        <v>16</v>
      </c>
      <c r="B39">
        <v>0</v>
      </c>
      <c r="C39" s="3">
        <v>1</v>
      </c>
      <c r="D39" s="3">
        <v>0</v>
      </c>
      <c r="E39" s="3">
        <f>1768.5-1706.9</f>
        <v>61.599999999999909</v>
      </c>
      <c r="F39" s="8" t="e">
        <f t="shared" si="10"/>
        <v>#NUM!</v>
      </c>
      <c r="G39" s="27" t="e">
        <f t="shared" si="11"/>
        <v>#NUM!</v>
      </c>
    </row>
    <row r="40" spans="1:7" x14ac:dyDescent="0.2">
      <c r="A40" s="3"/>
      <c r="C40" s="3"/>
      <c r="D40" s="3"/>
      <c r="E40" s="3"/>
      <c r="F40" s="8"/>
    </row>
    <row r="42" spans="1:7" x14ac:dyDescent="0.2">
      <c r="A42" s="2"/>
      <c r="B42" s="4"/>
      <c r="C42" s="4"/>
      <c r="D42" s="4"/>
      <c r="E42" s="4"/>
      <c r="F42" s="7"/>
    </row>
    <row r="43" spans="1:7" x14ac:dyDescent="0.2">
      <c r="A43" s="3"/>
      <c r="C43" s="3"/>
      <c r="D43" s="3"/>
      <c r="E43" s="3"/>
      <c r="F43" s="8"/>
    </row>
    <row r="44" spans="1:7" x14ac:dyDescent="0.2">
      <c r="A44" s="3"/>
      <c r="C44" s="3"/>
      <c r="D44" s="3"/>
      <c r="E44" s="3"/>
      <c r="F44" s="8"/>
    </row>
    <row r="45" spans="1:7" x14ac:dyDescent="0.2">
      <c r="A45" s="3"/>
      <c r="C45" s="3"/>
      <c r="D45" s="3"/>
      <c r="E45" s="3"/>
      <c r="F45" s="8"/>
    </row>
    <row r="46" spans="1:7" x14ac:dyDescent="0.2">
      <c r="A46" s="3"/>
      <c r="C46" s="3"/>
      <c r="D46" s="3"/>
      <c r="E46" s="3"/>
      <c r="F46" s="8"/>
    </row>
    <row r="47" spans="1:7" x14ac:dyDescent="0.2">
      <c r="A47" s="4"/>
      <c r="C47" s="4"/>
      <c r="D47" s="4"/>
      <c r="E47" s="4"/>
      <c r="F47" s="8"/>
    </row>
    <row r="48" spans="1:7" x14ac:dyDescent="0.2">
      <c r="A48" s="3"/>
      <c r="C48" s="3"/>
      <c r="D48" s="3"/>
      <c r="E48" s="3"/>
      <c r="F48" s="8"/>
    </row>
    <row r="49" spans="1:6" x14ac:dyDescent="0.2">
      <c r="A49" s="3"/>
      <c r="C49" s="3"/>
      <c r="D49" s="3"/>
      <c r="E49" s="3"/>
      <c r="F49" s="8"/>
    </row>
    <row r="50" spans="1:6" x14ac:dyDescent="0.2">
      <c r="A50" s="3"/>
      <c r="C50" s="3"/>
      <c r="D50" s="3"/>
      <c r="E50" s="3"/>
      <c r="F50" s="8"/>
    </row>
    <row r="51" spans="1:6" x14ac:dyDescent="0.2">
      <c r="A51" s="3"/>
      <c r="C51" s="3"/>
      <c r="D51" s="3"/>
      <c r="E51" s="3"/>
      <c r="F5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dose</vt:lpstr>
      <vt:lpstr>1h</vt:lpstr>
      <vt:lpstr>6h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2024-08-07T02:11:00Z</dcterms:modified>
</cp:coreProperties>
</file>