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1/Mouse Colonization/"/>
    </mc:Choice>
  </mc:AlternateContent>
  <xr:revisionPtr revIDLastSave="0" documentId="13_ncr:1_{E903C784-566C-FF4F-8F57-61D28ABDC8B5}" xr6:coauthVersionLast="47" xr6:coauthVersionMax="47" xr10:uidLastSave="{00000000-0000-0000-0000-000000000000}"/>
  <bookViews>
    <workbookView xWindow="35560" yWindow="1540" windowWidth="28800" windowHeight="17500" xr2:uid="{05D28018-5EC7-B748-ACA7-09DD0AD3B70C}"/>
  </bookViews>
  <sheets>
    <sheet name="dose" sheetId="4" r:id="rId1"/>
    <sheet name="feces pos ttmnt - PA" sheetId="5" r:id="rId2"/>
    <sheet name="day 3 organs - 10^7.5" sheetId="8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67" i="5" l="1"/>
  <c r="F166" i="5"/>
  <c r="F160" i="5"/>
  <c r="F159" i="5"/>
  <c r="F153" i="5"/>
  <c r="F152" i="5"/>
  <c r="F146" i="5"/>
  <c r="F145" i="5"/>
  <c r="F139" i="5"/>
  <c r="F138" i="5"/>
  <c r="F132" i="5"/>
  <c r="F131" i="5"/>
  <c r="F125" i="5"/>
  <c r="F124" i="5"/>
  <c r="F118" i="5"/>
  <c r="F117" i="5"/>
  <c r="F111" i="5"/>
  <c r="F110" i="5"/>
  <c r="F104" i="5"/>
  <c r="F103" i="5"/>
  <c r="F97" i="5"/>
  <c r="F96" i="5"/>
  <c r="F90" i="5"/>
  <c r="F89" i="5"/>
  <c r="F83" i="5"/>
  <c r="F82" i="5"/>
  <c r="F76" i="5"/>
  <c r="F75" i="5"/>
  <c r="F69" i="5"/>
  <c r="F68" i="5"/>
  <c r="F62" i="5"/>
  <c r="F61" i="5"/>
  <c r="F27" i="5"/>
  <c r="F26" i="5"/>
  <c r="F20" i="5"/>
  <c r="F19" i="5"/>
  <c r="F13" i="5"/>
  <c r="F12" i="5"/>
  <c r="F5" i="5"/>
  <c r="F165" i="5"/>
  <c r="F158" i="5"/>
  <c r="F151" i="5"/>
  <c r="F144" i="5"/>
  <c r="F137" i="5"/>
  <c r="F130" i="5"/>
  <c r="F123" i="5"/>
  <c r="F122" i="5"/>
  <c r="F121" i="5"/>
  <c r="F116" i="5"/>
  <c r="F115" i="5"/>
  <c r="F114" i="5"/>
  <c r="F109" i="5"/>
  <c r="F102" i="5"/>
  <c r="F95" i="5"/>
  <c r="F88" i="5"/>
  <c r="F81" i="5"/>
  <c r="F74" i="5"/>
  <c r="F67" i="5"/>
  <c r="D67" i="5"/>
  <c r="F60" i="5"/>
  <c r="F25" i="5"/>
  <c r="F18" i="5"/>
  <c r="F11" i="5"/>
  <c r="F4" i="5"/>
  <c r="F164" i="5" l="1"/>
  <c r="F163" i="5"/>
  <c r="F157" i="5"/>
  <c r="F156" i="5"/>
  <c r="F150" i="5"/>
  <c r="F149" i="5"/>
  <c r="F143" i="5"/>
  <c r="F142" i="5"/>
  <c r="F136" i="5"/>
  <c r="F135" i="5"/>
  <c r="F129" i="5"/>
  <c r="F128" i="5"/>
  <c r="F108" i="5"/>
  <c r="F107" i="5"/>
  <c r="F101" i="5"/>
  <c r="F100" i="5"/>
  <c r="F94" i="5"/>
  <c r="F93" i="5"/>
  <c r="F87" i="5"/>
  <c r="F86" i="5"/>
  <c r="F80" i="5"/>
  <c r="F79" i="5"/>
  <c r="F73" i="5"/>
  <c r="F72" i="5"/>
  <c r="F66" i="5"/>
  <c r="F65" i="5"/>
  <c r="F59" i="5"/>
  <c r="F58" i="5"/>
  <c r="F24" i="5"/>
  <c r="F23" i="5"/>
  <c r="F17" i="5"/>
  <c r="F16" i="5"/>
  <c r="F10" i="5"/>
  <c r="F9" i="5"/>
  <c r="F3" i="5"/>
  <c r="F2" i="5"/>
  <c r="F43" i="8"/>
  <c r="F42" i="8"/>
  <c r="F41" i="8"/>
  <c r="F40" i="8"/>
  <c r="F39" i="8"/>
  <c r="F38" i="8"/>
  <c r="F37" i="8"/>
  <c r="F36" i="8"/>
  <c r="F35" i="8"/>
  <c r="F32" i="8"/>
  <c r="F31" i="8"/>
  <c r="F30" i="8"/>
  <c r="F29" i="8"/>
  <c r="F28" i="8"/>
  <c r="F27" i="8"/>
  <c r="F26" i="8"/>
  <c r="F25" i="8"/>
  <c r="F24" i="8"/>
  <c r="F21" i="8"/>
  <c r="F20" i="8"/>
  <c r="F19" i="8"/>
  <c r="F18" i="8"/>
  <c r="F17" i="8"/>
  <c r="F16" i="8"/>
  <c r="F15" i="8"/>
  <c r="F14" i="8"/>
  <c r="F13" i="8"/>
  <c r="F10" i="8"/>
  <c r="F9" i="8"/>
  <c r="F8" i="8"/>
  <c r="F7" i="8"/>
  <c r="F6" i="8"/>
  <c r="F5" i="8"/>
  <c r="F4" i="8"/>
  <c r="F3" i="8"/>
  <c r="F2" i="8"/>
  <c r="D167" i="5"/>
  <c r="G167" i="5" s="1"/>
  <c r="D166" i="5"/>
  <c r="G166" i="5" s="1"/>
  <c r="D165" i="5"/>
  <c r="G165" i="5" s="1"/>
  <c r="D164" i="5"/>
  <c r="G164" i="5" s="1"/>
  <c r="D163" i="5"/>
  <c r="G163" i="5" s="1"/>
  <c r="D160" i="5"/>
  <c r="G160" i="5" s="1"/>
  <c r="D159" i="5"/>
  <c r="G159" i="5" s="1"/>
  <c r="D158" i="5"/>
  <c r="G158" i="5" s="1"/>
  <c r="D157" i="5"/>
  <c r="G157" i="5" s="1"/>
  <c r="D156" i="5"/>
  <c r="G156" i="5" s="1"/>
  <c r="D153" i="5"/>
  <c r="G153" i="5" s="1"/>
  <c r="D152" i="5"/>
  <c r="G152" i="5" s="1"/>
  <c r="D151" i="5"/>
  <c r="G151" i="5" s="1"/>
  <c r="D150" i="5"/>
  <c r="G150" i="5" s="1"/>
  <c r="D149" i="5"/>
  <c r="G149" i="5" s="1"/>
  <c r="D146" i="5"/>
  <c r="G146" i="5" s="1"/>
  <c r="D145" i="5"/>
  <c r="G145" i="5" s="1"/>
  <c r="D144" i="5"/>
  <c r="G144" i="5" s="1"/>
  <c r="D143" i="5"/>
  <c r="G143" i="5" s="1"/>
  <c r="D142" i="5"/>
  <c r="G142" i="5" s="1"/>
  <c r="D139" i="5"/>
  <c r="G139" i="5" s="1"/>
  <c r="D138" i="5"/>
  <c r="G138" i="5" s="1"/>
  <c r="D137" i="5"/>
  <c r="G137" i="5" s="1"/>
  <c r="D136" i="5"/>
  <c r="D135" i="5"/>
  <c r="G135" i="5" s="1"/>
  <c r="G136" i="5" l="1"/>
  <c r="L13" i="4"/>
  <c r="L12" i="4"/>
  <c r="L11" i="4"/>
  <c r="L10" i="4"/>
  <c r="D43" i="8"/>
  <c r="G43" i="8" s="1"/>
  <c r="D42" i="8"/>
  <c r="G42" i="8" s="1"/>
  <c r="D41" i="8"/>
  <c r="G41" i="8" s="1"/>
  <c r="D40" i="8"/>
  <c r="G40" i="8" s="1"/>
  <c r="D39" i="8"/>
  <c r="G39" i="8" s="1"/>
  <c r="D38" i="8"/>
  <c r="G38" i="8" s="1"/>
  <c r="D37" i="8"/>
  <c r="G37" i="8" s="1"/>
  <c r="D36" i="8"/>
  <c r="G36" i="8" s="1"/>
  <c r="D35" i="8"/>
  <c r="G35" i="8" s="1"/>
  <c r="D32" i="8"/>
  <c r="G32" i="8" s="1"/>
  <c r="D31" i="8"/>
  <c r="G31" i="8" s="1"/>
  <c r="D30" i="8"/>
  <c r="G30" i="8" s="1"/>
  <c r="D29" i="8"/>
  <c r="G29" i="8" s="1"/>
  <c r="D28" i="8"/>
  <c r="G28" i="8" s="1"/>
  <c r="D27" i="8"/>
  <c r="G27" i="8" s="1"/>
  <c r="D26" i="8"/>
  <c r="G26" i="8" s="1"/>
  <c r="D25" i="8"/>
  <c r="G25" i="8" s="1"/>
  <c r="D24" i="8"/>
  <c r="D21" i="8"/>
  <c r="G21" i="8" s="1"/>
  <c r="D20" i="8"/>
  <c r="G20" i="8" s="1"/>
  <c r="D19" i="8"/>
  <c r="G19" i="8" s="1"/>
  <c r="D18" i="8"/>
  <c r="G18" i="8" s="1"/>
  <c r="D17" i="8"/>
  <c r="G17" i="8" s="1"/>
  <c r="D16" i="8"/>
  <c r="D15" i="8"/>
  <c r="G15" i="8" s="1"/>
  <c r="D14" i="8"/>
  <c r="G14" i="8" s="1"/>
  <c r="D13" i="8"/>
  <c r="G13" i="8" s="1"/>
  <c r="D10" i="8"/>
  <c r="D9" i="8"/>
  <c r="G9" i="8" s="1"/>
  <c r="D8" i="8"/>
  <c r="G8" i="8" s="1"/>
  <c r="D7" i="8"/>
  <c r="G7" i="8" s="1"/>
  <c r="D6" i="8"/>
  <c r="D5" i="8"/>
  <c r="G5" i="8" s="1"/>
  <c r="D4" i="8"/>
  <c r="G4" i="8" s="1"/>
  <c r="D3" i="8"/>
  <c r="G3" i="8" s="1"/>
  <c r="D2" i="8"/>
  <c r="G24" i="8" l="1"/>
  <c r="G16" i="8"/>
  <c r="G10" i="8"/>
  <c r="G2" i="8"/>
  <c r="G6" i="8"/>
  <c r="M12" i="4"/>
  <c r="N12" i="4" s="1"/>
  <c r="M10" i="4"/>
  <c r="N10" i="4" s="1"/>
  <c r="D132" i="5" l="1"/>
  <c r="G132" i="5" s="1"/>
  <c r="D131" i="5"/>
  <c r="G131" i="5" s="1"/>
  <c r="D130" i="5"/>
  <c r="G130" i="5" s="1"/>
  <c r="D129" i="5"/>
  <c r="G129" i="5" s="1"/>
  <c r="D128" i="5"/>
  <c r="G128" i="5" s="1"/>
  <c r="D125" i="5"/>
  <c r="G125" i="5" s="1"/>
  <c r="D124" i="5"/>
  <c r="G124" i="5" s="1"/>
  <c r="D123" i="5"/>
  <c r="G123" i="5" s="1"/>
  <c r="D122" i="5"/>
  <c r="G122" i="5" s="1"/>
  <c r="D121" i="5"/>
  <c r="G121" i="5" s="1"/>
  <c r="D118" i="5"/>
  <c r="G118" i="5" s="1"/>
  <c r="D117" i="5"/>
  <c r="D116" i="5"/>
  <c r="G116" i="5" s="1"/>
  <c r="D115" i="5"/>
  <c r="G115" i="5" s="1"/>
  <c r="D114" i="5"/>
  <c r="G114" i="5" s="1"/>
  <c r="D103" i="5"/>
  <c r="G103" i="5" s="1"/>
  <c r="D111" i="5"/>
  <c r="G111" i="5" s="1"/>
  <c r="D110" i="5"/>
  <c r="D109" i="5"/>
  <c r="G109" i="5" s="1"/>
  <c r="D108" i="5"/>
  <c r="G108" i="5" s="1"/>
  <c r="D107" i="5"/>
  <c r="D104" i="5"/>
  <c r="G104" i="5" s="1"/>
  <c r="D102" i="5"/>
  <c r="G102" i="5" s="1"/>
  <c r="D101" i="5"/>
  <c r="D100" i="5"/>
  <c r="G100" i="5" s="1"/>
  <c r="D97" i="5"/>
  <c r="D96" i="5"/>
  <c r="G96" i="5" s="1"/>
  <c r="D95" i="5"/>
  <c r="G95" i="5" s="1"/>
  <c r="D94" i="5"/>
  <c r="D93" i="5"/>
  <c r="G93" i="5" s="1"/>
  <c r="D90" i="5"/>
  <c r="G90" i="5" s="1"/>
  <c r="D89" i="5"/>
  <c r="G89" i="5" s="1"/>
  <c r="D88" i="5"/>
  <c r="G88" i="5" s="1"/>
  <c r="D87" i="5"/>
  <c r="G87" i="5" s="1"/>
  <c r="D86" i="5"/>
  <c r="G86" i="5" s="1"/>
  <c r="D83" i="5"/>
  <c r="G83" i="5" s="1"/>
  <c r="D82" i="5"/>
  <c r="G82" i="5" s="1"/>
  <c r="D81" i="5"/>
  <c r="D80" i="5"/>
  <c r="G80" i="5" s="1"/>
  <c r="D79" i="5"/>
  <c r="D76" i="5"/>
  <c r="D75" i="5"/>
  <c r="G75" i="5" s="1"/>
  <c r="D74" i="5"/>
  <c r="G74" i="5" s="1"/>
  <c r="D73" i="5"/>
  <c r="G73" i="5" s="1"/>
  <c r="D72" i="5"/>
  <c r="D69" i="5"/>
  <c r="D68" i="5"/>
  <c r="G68" i="5" s="1"/>
  <c r="G67" i="5"/>
  <c r="D66" i="5"/>
  <c r="G66" i="5" s="1"/>
  <c r="D65" i="5"/>
  <c r="G65" i="5" s="1"/>
  <c r="D62" i="5"/>
  <c r="G62" i="5" s="1"/>
  <c r="D61" i="5"/>
  <c r="G61" i="5" s="1"/>
  <c r="D60" i="5"/>
  <c r="G60" i="5" s="1"/>
  <c r="D59" i="5"/>
  <c r="G59" i="5" s="1"/>
  <c r="D58" i="5"/>
  <c r="G58" i="5" s="1"/>
  <c r="D55" i="5"/>
  <c r="G55" i="5" s="1"/>
  <c r="D54" i="5"/>
  <c r="D53" i="5"/>
  <c r="D52" i="5"/>
  <c r="D51" i="5"/>
  <c r="G51" i="5" s="1"/>
  <c r="D48" i="5"/>
  <c r="G48" i="5" s="1"/>
  <c r="D47" i="5"/>
  <c r="G47" i="5" s="1"/>
  <c r="D46" i="5"/>
  <c r="G46" i="5" s="1"/>
  <c r="D45" i="5"/>
  <c r="D44" i="5"/>
  <c r="D41" i="5"/>
  <c r="D40" i="5"/>
  <c r="D39" i="5"/>
  <c r="G39" i="5" s="1"/>
  <c r="D38" i="5"/>
  <c r="G38" i="5" s="1"/>
  <c r="D37" i="5"/>
  <c r="G37" i="5" s="1"/>
  <c r="D34" i="5"/>
  <c r="D33" i="5"/>
  <c r="D32" i="5"/>
  <c r="G32" i="5" s="1"/>
  <c r="D31" i="5"/>
  <c r="G31" i="5" s="1"/>
  <c r="D30" i="5"/>
  <c r="G30" i="5" s="1"/>
  <c r="D27" i="5"/>
  <c r="G27" i="5" s="1"/>
  <c r="D26" i="5"/>
  <c r="G26" i="5" s="1"/>
  <c r="D25" i="5"/>
  <c r="G25" i="5" s="1"/>
  <c r="D24" i="5"/>
  <c r="G24" i="5" s="1"/>
  <c r="D23" i="5"/>
  <c r="G23" i="5" s="1"/>
  <c r="D20" i="5"/>
  <c r="G20" i="5" s="1"/>
  <c r="D19" i="5"/>
  <c r="G19" i="5" s="1"/>
  <c r="D18" i="5"/>
  <c r="G18" i="5" s="1"/>
  <c r="D17" i="5"/>
  <c r="D16" i="5"/>
  <c r="D13" i="5"/>
  <c r="G13" i="5" s="1"/>
  <c r="D12" i="5"/>
  <c r="G12" i="5" s="1"/>
  <c r="D11" i="5"/>
  <c r="G11" i="5" s="1"/>
  <c r="D10" i="5"/>
  <c r="G10" i="5" s="1"/>
  <c r="D9" i="5"/>
  <c r="S3" i="5"/>
  <c r="T3" i="5" s="1"/>
  <c r="U3" i="5" s="1"/>
  <c r="V3" i="5" s="1"/>
  <c r="S4" i="5"/>
  <c r="T4" i="5" s="1"/>
  <c r="U4" i="5" s="1"/>
  <c r="V4" i="5" s="1"/>
  <c r="S5" i="5"/>
  <c r="T5" i="5" s="1"/>
  <c r="U5" i="5" s="1"/>
  <c r="V5" i="5" s="1"/>
  <c r="S6" i="5"/>
  <c r="T6" i="5" s="1"/>
  <c r="U6" i="5" s="1"/>
  <c r="V6" i="5" s="1"/>
  <c r="L9" i="4"/>
  <c r="L8" i="4"/>
  <c r="L7" i="4"/>
  <c r="L6" i="4"/>
  <c r="G16" i="5" l="1"/>
  <c r="G17" i="5"/>
  <c r="G9" i="5"/>
  <c r="G53" i="5"/>
  <c r="G81" i="5"/>
  <c r="G110" i="5"/>
  <c r="G117" i="5"/>
  <c r="G41" i="5"/>
  <c r="G40" i="5"/>
  <c r="G97" i="5"/>
  <c r="G76" i="5"/>
  <c r="G69" i="5"/>
  <c r="G34" i="5"/>
  <c r="G33" i="5"/>
  <c r="G94" i="5"/>
  <c r="G79" i="5"/>
  <c r="G52" i="5"/>
  <c r="M8" i="4"/>
  <c r="N8" i="4" s="1"/>
  <c r="G54" i="5"/>
  <c r="G101" i="5"/>
  <c r="G107" i="5"/>
  <c r="G72" i="5"/>
  <c r="G45" i="5"/>
  <c r="G44" i="5"/>
  <c r="M6" i="4"/>
  <c r="N6" i="4" s="1"/>
  <c r="L5" i="4" l="1"/>
  <c r="L4" i="4"/>
  <c r="L3" i="4"/>
  <c r="L2" i="4"/>
  <c r="D6" i="5"/>
  <c r="D5" i="5"/>
  <c r="G5" i="5" s="1"/>
  <c r="D4" i="5"/>
  <c r="G4" i="5" s="1"/>
  <c r="D3" i="5"/>
  <c r="G3" i="5" s="1"/>
  <c r="D2" i="5"/>
  <c r="M2" i="4" l="1"/>
  <c r="N2" i="4" s="1"/>
  <c r="M4" i="4"/>
  <c r="N4" i="4" s="1"/>
  <c r="G2" i="5"/>
  <c r="S2" i="5" l="1"/>
  <c r="T2" i="5" s="1"/>
  <c r="U2" i="5" s="1"/>
  <c r="V2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tc={F4EFBD1A-BBC4-C64E-9170-3D18FDFCE71E}</author>
  </authors>
  <commentList>
    <comment ref="A29" authorId="0" shapeId="0" xr:uid="{F4EFBD1A-BBC4-C64E-9170-3D18FDFCE71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Something wrong probably happened with this group: none of my mice were shedding </t>
      </text>
    </comment>
  </commentList>
</comments>
</file>

<file path=xl/sharedStrings.xml><?xml version="1.0" encoding="utf-8"?>
<sst xmlns="http://schemas.openxmlformats.org/spreadsheetml/2006/main" count="341" uniqueCount="66">
  <si>
    <t>number of CFU (not diluted)</t>
  </si>
  <si>
    <t>mean in 10 µL</t>
  </si>
  <si>
    <t>feces weights (mg)</t>
  </si>
  <si>
    <t>Log10 CFU/g of feces</t>
  </si>
  <si>
    <t>Dilution factor</t>
  </si>
  <si>
    <t>Strain</t>
  </si>
  <si>
    <t>Slope</t>
  </si>
  <si>
    <t>Intercept</t>
  </si>
  <si>
    <r>
      <t>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</si>
  <si>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r>
      <t>OD 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</si>
  <si>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</si>
  <si>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</si>
  <si>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</si>
  <si>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</si>
  <si>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</si>
  <si>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</si>
  <si>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</si>
  <si>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</si>
  <si>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</si>
  <si>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</si>
  <si>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 reached</t>
  </si>
  <si>
    <t>BL048 10^8 LB (LB irg5 plates)</t>
  </si>
  <si>
    <t>BL048 10^6 LB (LB irg5 plates)</t>
  </si>
  <si>
    <t>BL048 10^5 LB (LB irg5 plates)</t>
  </si>
  <si>
    <t>BL048 10^4 (LB irg5 plates)</t>
  </si>
  <si>
    <t>stomach</t>
  </si>
  <si>
    <t>small intestine</t>
  </si>
  <si>
    <t>caecum</t>
  </si>
  <si>
    <t>colon</t>
  </si>
  <si>
    <t>feces</t>
  </si>
  <si>
    <t xml:space="preserve">spleen </t>
  </si>
  <si>
    <t>liver</t>
  </si>
  <si>
    <t xml:space="preserve">Gall bladder </t>
  </si>
  <si>
    <t>organ weights (mg)</t>
  </si>
  <si>
    <t>Log10 CFU/g of organ</t>
  </si>
  <si>
    <t>lungs</t>
  </si>
  <si>
    <t>BL048 10^3 (LB irg5 plates)</t>
  </si>
  <si>
    <t>BL048 10^2 (LB irg5 plates)</t>
  </si>
  <si>
    <t>BL048 LB 10^7.5 mouse 1 organs</t>
  </si>
  <si>
    <t xml:space="preserve">BL048 LB 10^7.5 mouse 1 </t>
  </si>
  <si>
    <t>BL048 LB 10^7.5 mouse 2</t>
  </si>
  <si>
    <t>BL048 LB 10^7.5 mouse 3 organs</t>
  </si>
  <si>
    <t>BL048 LB 10^7.5 mouse 4 organs</t>
  </si>
  <si>
    <t>BL048 LB 10^7.5 mouse 4</t>
  </si>
  <si>
    <t>BL048 LB 10^5 mouse 1</t>
  </si>
  <si>
    <t>BL048 LB 10^5 mouse 2</t>
  </si>
  <si>
    <t>BL048 LB 10^5 mouse 3</t>
  </si>
  <si>
    <t>BL048 LB 10^5 mouse 4</t>
  </si>
  <si>
    <t>BL048 LB 10^4.2 mouse 1</t>
  </si>
  <si>
    <t>BL048 LB 10^4.2 mouse 2</t>
  </si>
  <si>
    <t>BL048 LB 10^4.2 mouse 3</t>
  </si>
  <si>
    <t>BL048 LB 10^4.2 mouse 4</t>
  </si>
  <si>
    <t>BL048 LB 10^3.3 mouse 1</t>
  </si>
  <si>
    <t>BL048 LB 10^3.3 mouse 2</t>
  </si>
  <si>
    <t>BL048 LB 10^3.3 mouse 3</t>
  </si>
  <si>
    <t>BL048 LB 10^3.3 mouse 4</t>
  </si>
  <si>
    <t>BL048 LB 10^1.4 mouse 1</t>
  </si>
  <si>
    <t>BL048 LB 10^1.4 mouse 2</t>
  </si>
  <si>
    <t>BL048 LB 10^1.4 mouse 3</t>
  </si>
  <si>
    <t>BL048 LB 10^1.4 mouse 4</t>
  </si>
  <si>
    <t>BL048 LB 10^2.3 mouse 1</t>
  </si>
  <si>
    <t>BL048 LB 10^2.3 mouse 2</t>
  </si>
  <si>
    <t>BL048 LB 10^2.3 mouse 3</t>
  </si>
  <si>
    <t>BL048 LB 10^2.3 mouse 4</t>
  </si>
  <si>
    <t>BL048 LB 10^7.5 mouse 2 organs</t>
  </si>
  <si>
    <t>day 14 - didm't poop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</si>
</sst>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vertAlign val="subscript"/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0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4" borderId="1" xfId="0" applyNumberFormat="1" applyFill="1" applyBorder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/>
    </xf>
    <xf numFmtId="0" fontId="6" fillId="0" borderId="0" xfId="0" applyFont="1" applyAlignment="1"/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/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0" fontId="0" fillId="0" borderId="6" xfId="0" applyBorder="1"/>
    <xf numFmtId="11" fontId="0" fillId="0" borderId="6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vertical="center" wrapText="1"/>
    </xf>
    <xf numFmtId="11" fontId="0" fillId="0" borderId="0" xfId="0" applyNumberFormat="1" applyFill="1" applyBorder="1" applyAlignment="1">
      <alignment horizontal="center" vertical="center"/>
    </xf>
    <xf numFmtId="11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165" fontId="0" fillId="3" borderId="4" xfId="0" applyNumberFormat="1" applyFill="1" applyBorder="1" applyAlignment="1">
      <alignment horizontal="center" vertical="center"/>
    </xf>
    <xf numFmtId="165" fontId="0" fillId="3" borderId="7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10^7.5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E61-854D-A5CC-C4E6F9701B98}"/>
            </c:ext>
          </c:extLst>
        </c:ser>
        <c:ser>
          <c:idx val="0"/>
          <c:order val="1"/>
          <c:tx>
            <c:strRef>
              <c:f>'feces pos ttmnt - PA'!$A$1</c:f>
              <c:strCache>
                <c:ptCount val="1"/>
                <c:pt idx="0">
                  <c:v>BL048 LB 10^7.5 mouse 1 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PA'!$G$2:$G$6</c:f>
              <c:numCache>
                <c:formatCode>0.000</c:formatCode>
                <c:ptCount val="5"/>
                <c:pt idx="0">
                  <c:v>8.383699569557427</c:v>
                </c:pt>
                <c:pt idx="1">
                  <c:v>8.3321227241823959</c:v>
                </c:pt>
                <c:pt idx="2">
                  <c:v>7.6549531753516469</c:v>
                </c:pt>
                <c:pt idx="3">
                  <c:v>7.2607668156467273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E61-854D-A5CC-C4E6F9701B98}"/>
            </c:ext>
          </c:extLst>
        </c:ser>
        <c:ser>
          <c:idx val="3"/>
          <c:order val="2"/>
          <c:tx>
            <c:strRef>
              <c:f>'feces pos ttmnt - PA'!$A$8</c:f>
              <c:strCache>
                <c:ptCount val="1"/>
                <c:pt idx="0">
                  <c:v>BL048 LB 10^7.5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PA'!$G$9:$G$13</c:f>
              <c:numCache>
                <c:formatCode>0.000</c:formatCode>
                <c:ptCount val="5"/>
                <c:pt idx="0">
                  <c:v>8.8288608411435714</c:v>
                </c:pt>
                <c:pt idx="1">
                  <c:v>7.179814565845331</c:v>
                </c:pt>
                <c:pt idx="2">
                  <c:v>5.2650739036616372</c:v>
                </c:pt>
                <c:pt idx="3">
                  <c:v>5.9799940653731287</c:v>
                </c:pt>
                <c:pt idx="4">
                  <c:v>4.0643807881811371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A2D-5647-91B9-F53F3660216C}"/>
            </c:ext>
          </c:extLst>
        </c:ser>
        <c:ser>
          <c:idx val="1"/>
          <c:order val="3"/>
          <c:tx>
            <c:strRef>
              <c:f>'feces pos ttmnt - PA'!$A$15</c:f>
              <c:strCache>
                <c:ptCount val="1"/>
                <c:pt idx="0">
                  <c:v>BL048 LB 10^7.5 mouse 3 organs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PA'!$T$2:$T$14</c:f>
              <c:numCache>
                <c:formatCode>General</c:formatCode>
                <c:ptCount val="13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PA'!$G$16:$G$20</c:f>
              <c:numCache>
                <c:formatCode>0.000</c:formatCode>
                <c:ptCount val="5"/>
                <c:pt idx="0">
                  <c:v>8.217611696673103</c:v>
                </c:pt>
                <c:pt idx="1">
                  <c:v>8.7789205942197412</c:v>
                </c:pt>
                <c:pt idx="2">
                  <c:v>8.0046662941211899</c:v>
                </c:pt>
                <c:pt idx="3">
                  <c:v>6.9566377219788702</c:v>
                </c:pt>
                <c:pt idx="4">
                  <c:v>3.8927900303521317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EFA-1347-87CD-483D112FA540}"/>
            </c:ext>
          </c:extLst>
        </c:ser>
        <c:ser>
          <c:idx val="2"/>
          <c:order val="4"/>
          <c:tx>
            <c:strRef>
              <c:f>'feces pos ttmnt - PA'!$A$22</c:f>
              <c:strCache>
                <c:ptCount val="1"/>
                <c:pt idx="0">
                  <c:v>BL048 LB 10^7.5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solidFill>
                    <a:schemeClr val="accent3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F289-5A49-90C3-F9F3E47B8E2F}"/>
              </c:ext>
            </c:extLst>
          </c:dPt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PA'!$G$23:$G$27</c:f>
              <c:numCache>
                <c:formatCode>0.000</c:formatCode>
                <c:ptCount val="5"/>
                <c:pt idx="0">
                  <c:v>8.5494297727223838</c:v>
                </c:pt>
                <c:pt idx="1">
                  <c:v>8.5579363904974706</c:v>
                </c:pt>
                <c:pt idx="2">
                  <c:v>7.134698573897456</c:v>
                </c:pt>
                <c:pt idx="3">
                  <c:v>6.0849417499686123</c:v>
                </c:pt>
                <c:pt idx="4">
                  <c:v>5.8416375079047489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289-5A49-90C3-F9F3E47B8E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10^4.2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B38-7244-9AEA-A6913017303B}"/>
            </c:ext>
          </c:extLst>
        </c:ser>
        <c:ser>
          <c:idx val="0"/>
          <c:order val="1"/>
          <c:tx>
            <c:strRef>
              <c:f>'feces pos ttmnt - PA'!$A$57</c:f>
              <c:strCache>
                <c:ptCount val="1"/>
                <c:pt idx="0">
                  <c:v>BL048 LB 10^4.2 mouse 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PA'!$G$58:$G$62</c:f>
              <c:numCache>
                <c:formatCode>0.000</c:formatCode>
                <c:ptCount val="5"/>
                <c:pt idx="0">
                  <c:v>8.2806687130162722</c:v>
                </c:pt>
                <c:pt idx="1">
                  <c:v>7.985391046241384</c:v>
                </c:pt>
                <c:pt idx="2">
                  <c:v>6.0537789887101248</c:v>
                </c:pt>
                <c:pt idx="3">
                  <c:v>5.261219441515629</c:v>
                </c:pt>
                <c:pt idx="4">
                  <c:v>4.9360587205091129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B38-7244-9AEA-A6913017303B}"/>
            </c:ext>
          </c:extLst>
        </c:ser>
        <c:ser>
          <c:idx val="3"/>
          <c:order val="2"/>
          <c:tx>
            <c:strRef>
              <c:f>'feces pos ttmnt - PA'!$A$64</c:f>
              <c:strCache>
                <c:ptCount val="1"/>
                <c:pt idx="0">
                  <c:v>BL048 LB 10^4.2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PA'!$G$65:$G$69</c:f>
              <c:numCache>
                <c:formatCode>0.000</c:formatCode>
                <c:ptCount val="5"/>
                <c:pt idx="0">
                  <c:v>8.3370750998486205</c:v>
                </c:pt>
                <c:pt idx="1">
                  <c:v>7.8399175275104769</c:v>
                </c:pt>
                <c:pt idx="2">
                  <c:v>6.8448862407016451</c:v>
                </c:pt>
                <c:pt idx="3">
                  <c:v>6.0783548052998437</c:v>
                </c:pt>
                <c:pt idx="4">
                  <c:v>7.2607056861537833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B38-7244-9AEA-A6913017303B}"/>
            </c:ext>
          </c:extLst>
        </c:ser>
        <c:ser>
          <c:idx val="1"/>
          <c:order val="3"/>
          <c:tx>
            <c:strRef>
              <c:f>'feces pos ttmnt - PA'!$A$71</c:f>
              <c:strCache>
                <c:ptCount val="1"/>
                <c:pt idx="0">
                  <c:v>BL048 LB 10^4.2 mouse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PA'!$G$72:$G$76</c:f>
              <c:numCache>
                <c:formatCode>0.000</c:formatCode>
                <c:ptCount val="5"/>
                <c:pt idx="0">
                  <c:v>6.9874714057580611</c:v>
                </c:pt>
                <c:pt idx="1">
                  <c:v>9.1285428608771255</c:v>
                </c:pt>
                <c:pt idx="2">
                  <c:v>8.4233871308845156</c:v>
                </c:pt>
                <c:pt idx="3">
                  <c:v>5.7739527495631737</c:v>
                </c:pt>
                <c:pt idx="4">
                  <c:v>6.8843894883256995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B38-7244-9AEA-A6913017303B}"/>
            </c:ext>
          </c:extLst>
        </c:ser>
        <c:ser>
          <c:idx val="2"/>
          <c:order val="4"/>
          <c:tx>
            <c:strRef>
              <c:f>'feces pos ttmnt - PA'!$A$78</c:f>
              <c:strCache>
                <c:ptCount val="1"/>
                <c:pt idx="0">
                  <c:v>BL048 LB 10^4.2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PA'!$G$79:$G$83</c:f>
              <c:numCache>
                <c:formatCode>0.000</c:formatCode>
                <c:ptCount val="5"/>
                <c:pt idx="0">
                  <c:v>7.6391722564950673</c:v>
                </c:pt>
                <c:pt idx="1">
                  <c:v>7.589054141312225</c:v>
                </c:pt>
                <c:pt idx="2">
                  <c:v>5.2008061468767766</c:v>
                </c:pt>
                <c:pt idx="3">
                  <c:v>6.126098402135538</c:v>
                </c:pt>
                <c:pt idx="4">
                  <c:v>7.2757241303992117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B38-7244-9AEA-A691301730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10^3.2</a:t>
            </a:r>
          </a:p>
        </c:rich>
      </c:tx>
      <c:layout>
        <c:manualLayout>
          <c:xMode val="edge"/>
          <c:yMode val="edge"/>
          <c:x val="0.38247641422740414"/>
          <c:y val="4.2211943961378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2D5-9541-AB03-888809F789DB}"/>
            </c:ext>
          </c:extLst>
        </c:ser>
        <c:ser>
          <c:idx val="0"/>
          <c:order val="1"/>
          <c:tx>
            <c:strRef>
              <c:f>'feces pos ttmnt - PA'!$A$85</c:f>
              <c:strCache>
                <c:ptCount val="1"/>
                <c:pt idx="0">
                  <c:v>BL048 LB 10^3.3 mouse 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PA'!$G$86:$G$90</c:f>
              <c:numCache>
                <c:formatCode>0.000</c:formatCode>
                <c:ptCount val="5"/>
                <c:pt idx="0">
                  <c:v>8.4538687950859526</c:v>
                </c:pt>
                <c:pt idx="1">
                  <c:v>8.7679898025894971</c:v>
                </c:pt>
                <c:pt idx="2">
                  <c:v>7.5883545953781075</c:v>
                </c:pt>
                <c:pt idx="3">
                  <c:v>6.3591874196800182</c:v>
                </c:pt>
                <c:pt idx="4">
                  <c:v>5.9254495082191685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2D5-9541-AB03-888809F789DB}"/>
            </c:ext>
          </c:extLst>
        </c:ser>
        <c:ser>
          <c:idx val="3"/>
          <c:order val="2"/>
          <c:tx>
            <c:strRef>
              <c:f>'feces pos ttmnt - PA'!$A$92</c:f>
              <c:strCache>
                <c:ptCount val="1"/>
                <c:pt idx="0">
                  <c:v>BL048 LB 10^3.3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PA'!$G$93:$G$97</c:f>
              <c:numCache>
                <c:formatCode>0.000</c:formatCode>
                <c:ptCount val="5"/>
                <c:pt idx="0">
                  <c:v>4.2100876387305668</c:v>
                </c:pt>
                <c:pt idx="1">
                  <c:v>4.9775463784013034</c:v>
                </c:pt>
                <c:pt idx="2">
                  <c:v>4.5003129173815992</c:v>
                </c:pt>
                <c:pt idx="3">
                  <c:v>5.3805272071543584</c:v>
                </c:pt>
                <c:pt idx="4">
                  <c:v>3.2321023839819101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2D5-9541-AB03-888809F789DB}"/>
            </c:ext>
          </c:extLst>
        </c:ser>
        <c:ser>
          <c:idx val="1"/>
          <c:order val="3"/>
          <c:tx>
            <c:strRef>
              <c:f>'feces pos ttmnt - PA'!$A$99</c:f>
              <c:strCache>
                <c:ptCount val="1"/>
                <c:pt idx="0">
                  <c:v>BL048 LB 10^3.3 mouse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PA'!$G$100:$G$104</c:f>
              <c:numCache>
                <c:formatCode>0.000</c:formatCode>
                <c:ptCount val="5"/>
                <c:pt idx="0">
                  <c:v>8.3461770933175679</c:v>
                </c:pt>
                <c:pt idx="1">
                  <c:v>8.450328078131724</c:v>
                </c:pt>
                <c:pt idx="2">
                  <c:v>7.3438084825075904</c:v>
                </c:pt>
                <c:pt idx="3">
                  <c:v>6.4191545581551859</c:v>
                </c:pt>
                <c:pt idx="4">
                  <c:v>6.5501911294090647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2D5-9541-AB03-888809F789DB}"/>
            </c:ext>
          </c:extLst>
        </c:ser>
        <c:ser>
          <c:idx val="2"/>
          <c:order val="4"/>
          <c:tx>
            <c:strRef>
              <c:f>'feces pos ttmnt - PA'!$A$106</c:f>
              <c:strCache>
                <c:ptCount val="1"/>
                <c:pt idx="0">
                  <c:v>BL048 LB 10^3.3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PA'!$G$107:$G$111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4.017728766960432</c:v>
                </c:pt>
                <c:pt idx="3">
                  <c:v>4.1856044081917103</c:v>
                </c:pt>
                <c:pt idx="4">
                  <c:v>4.6824355674262836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2D5-9541-AB03-888809F78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10^2.3</a:t>
            </a:r>
          </a:p>
        </c:rich>
      </c:tx>
      <c:layout>
        <c:manualLayout>
          <c:xMode val="edge"/>
          <c:yMode val="edge"/>
          <c:x val="0.38247641422740414"/>
          <c:y val="4.2211943961378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E9A-EB40-8903-6D80D1338A3C}"/>
            </c:ext>
          </c:extLst>
        </c:ser>
        <c:ser>
          <c:idx val="0"/>
          <c:order val="1"/>
          <c:tx>
            <c:strRef>
              <c:f>'feces pos ttmnt - PA'!$A$113</c:f>
              <c:strCache>
                <c:ptCount val="1"/>
                <c:pt idx="0">
                  <c:v>BL048 LB 10^2.3 mouse 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PA'!$G$114:$G$118</c:f>
              <c:numCache>
                <c:formatCode>0.000</c:formatCode>
                <c:ptCount val="5"/>
                <c:pt idx="0">
                  <c:v>8.3168242628472129</c:v>
                </c:pt>
                <c:pt idx="1">
                  <c:v>6.820344946756955</c:v>
                </c:pt>
                <c:pt idx="2">
                  <c:v>6.504930138030776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E9A-EB40-8903-6D80D1338A3C}"/>
            </c:ext>
          </c:extLst>
        </c:ser>
        <c:ser>
          <c:idx val="3"/>
          <c:order val="2"/>
          <c:tx>
            <c:strRef>
              <c:f>'feces pos ttmnt - PA'!$A$120</c:f>
              <c:strCache>
                <c:ptCount val="1"/>
                <c:pt idx="0">
                  <c:v>BL048 LB 10^2.3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PA'!$G$121:$G$125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E9A-EB40-8903-6D80D1338A3C}"/>
            </c:ext>
          </c:extLst>
        </c:ser>
        <c:ser>
          <c:idx val="1"/>
          <c:order val="3"/>
          <c:tx>
            <c:strRef>
              <c:f>'feces pos ttmnt - PA'!$A$127</c:f>
              <c:strCache>
                <c:ptCount val="1"/>
                <c:pt idx="0">
                  <c:v>BL048 LB 10^2.3 mouse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PA'!$G$128:$G$132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E9A-EB40-8903-6D80D1338A3C}"/>
            </c:ext>
          </c:extLst>
        </c:ser>
        <c:ser>
          <c:idx val="2"/>
          <c:order val="4"/>
          <c:tx>
            <c:strRef>
              <c:f>'feces pos ttmnt - PA'!$A$134</c:f>
              <c:strCache>
                <c:ptCount val="1"/>
                <c:pt idx="0">
                  <c:v>BL048 LB 10^2.3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PA'!$G$135:$G$139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C9B-1E4D-BAD2-51E53784BF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10^1.4</a:t>
            </a:r>
          </a:p>
        </c:rich>
      </c:tx>
      <c:layout>
        <c:manualLayout>
          <c:xMode val="edge"/>
          <c:yMode val="edge"/>
          <c:x val="0.38247641422740414"/>
          <c:y val="4.2211943961378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EDA-D54F-9F15-80898355AA7E}"/>
            </c:ext>
          </c:extLst>
        </c:ser>
        <c:ser>
          <c:idx val="0"/>
          <c:order val="1"/>
          <c:tx>
            <c:strRef>
              <c:f>'feces pos ttmnt - PA'!$A$141</c:f>
              <c:strCache>
                <c:ptCount val="1"/>
                <c:pt idx="0">
                  <c:v>BL048 LB 10^1.4 mouse 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PA'!$G$142:$G$146</c:f>
              <c:numCache>
                <c:formatCode>0.000</c:formatCode>
                <c:ptCount val="5"/>
                <c:pt idx="0">
                  <c:v>3.9559831710156286</c:v>
                </c:pt>
                <c:pt idx="1">
                  <c:v>7.1656537731546033</c:v>
                </c:pt>
                <c:pt idx="2">
                  <c:v>7.1622148555716931</c:v>
                </c:pt>
                <c:pt idx="3">
                  <c:v>3.6695862266508086</c:v>
                </c:pt>
                <c:pt idx="4">
                  <c:v>2.7207894873986054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EDA-D54F-9F15-80898355AA7E}"/>
            </c:ext>
          </c:extLst>
        </c:ser>
        <c:ser>
          <c:idx val="3"/>
          <c:order val="2"/>
          <c:tx>
            <c:strRef>
              <c:f>'feces pos ttmnt - PA'!$A$148</c:f>
              <c:strCache>
                <c:ptCount val="1"/>
                <c:pt idx="0">
                  <c:v>BL048 LB 10^1.4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PA'!$G$149:$G$153</c:f>
              <c:numCache>
                <c:formatCode>0.000</c:formatCode>
                <c:ptCount val="5"/>
                <c:pt idx="0">
                  <c:v>8.2979018106010418</c:v>
                </c:pt>
                <c:pt idx="1">
                  <c:v>8.6222082324118077</c:v>
                </c:pt>
                <c:pt idx="2">
                  <c:v>7.3767507096021001</c:v>
                </c:pt>
                <c:pt idx="3">
                  <c:v>4.2937764745373359</c:v>
                </c:pt>
                <c:pt idx="4">
                  <c:v>4.2747419336400396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EDA-D54F-9F15-80898355AA7E}"/>
            </c:ext>
          </c:extLst>
        </c:ser>
        <c:ser>
          <c:idx val="1"/>
          <c:order val="3"/>
          <c:tx>
            <c:strRef>
              <c:f>'feces pos ttmnt - PA'!$A$155</c:f>
              <c:strCache>
                <c:ptCount val="1"/>
                <c:pt idx="0">
                  <c:v>BL048 LB 10^1.4 mouse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PA'!$G$156:$G$160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3.2773660774661875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EDA-D54F-9F15-80898355AA7E}"/>
            </c:ext>
          </c:extLst>
        </c:ser>
        <c:ser>
          <c:idx val="2"/>
          <c:order val="4"/>
          <c:tx>
            <c:strRef>
              <c:f>'feces pos ttmnt - PA'!$A$162</c:f>
              <c:strCache>
                <c:ptCount val="1"/>
                <c:pt idx="0">
                  <c:v>BL048 LB 10^1.4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PA'!$G$163:$G$167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4.0693056123354658</c:v>
                </c:pt>
                <c:pt idx="3">
                  <c:v>3.7830427926389025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EDA-D54F-9F15-80898355AA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11586</xdr:colOff>
      <xdr:row>0</xdr:row>
      <xdr:rowOff>1</xdr:rowOff>
    </xdr:from>
    <xdr:to>
      <xdr:col>15</xdr:col>
      <xdr:colOff>656896</xdr:colOff>
      <xdr:row>11</xdr:row>
      <xdr:rowOff>120432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9B189BF-F27C-F64B-938B-3178A36E23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25</xdr:row>
      <xdr:rowOff>0</xdr:rowOff>
    </xdr:from>
    <xdr:to>
      <xdr:col>15</xdr:col>
      <xdr:colOff>645310</xdr:colOff>
      <xdr:row>36</xdr:row>
      <xdr:rowOff>142328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4517372-193D-D643-90F6-D2F8DB48AD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38</xdr:row>
      <xdr:rowOff>0</xdr:rowOff>
    </xdr:from>
    <xdr:to>
      <xdr:col>15</xdr:col>
      <xdr:colOff>645310</xdr:colOff>
      <xdr:row>49</xdr:row>
      <xdr:rowOff>580259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3EFE358A-1D94-B04F-8437-B66BDCB87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0</xdr:colOff>
      <xdr:row>50</xdr:row>
      <xdr:rowOff>131380</xdr:rowOff>
    </xdr:from>
    <xdr:to>
      <xdr:col>15</xdr:col>
      <xdr:colOff>645310</xdr:colOff>
      <xdr:row>63</xdr:row>
      <xdr:rowOff>295604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3B065AE-D5A2-7845-9257-A623797184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0</xdr:colOff>
      <xdr:row>64</xdr:row>
      <xdr:rowOff>0</xdr:rowOff>
    </xdr:from>
    <xdr:to>
      <xdr:col>15</xdr:col>
      <xdr:colOff>645310</xdr:colOff>
      <xdr:row>77</xdr:row>
      <xdr:rowOff>164224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E4E3D94F-6C06-3E43-91C1-39B6CE5C3F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ne/Library/Mobile%20Documents/com~apple~CloudDocs/Documents/DGP/Hauser%20lab/Results/2019/8.8.19%20-%20colonization%20assay%20PAS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ces over a week"/>
      <sheetName val="Day 7 - all organs "/>
    </sheetNames>
    <sheetDataSet>
      <sheetData sheetId="0">
        <row r="1">
          <cell r="K1" t="str">
            <v>Detection limit</v>
          </cell>
        </row>
        <row r="2">
          <cell r="K2">
            <v>2.2300321986705574</v>
          </cell>
        </row>
      </sheetData>
      <sheetData sheetId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Marine Lebrun" id="{9A029DCE-C2DE-084C-86E4-D6F1609367A3}" userId="S::msl4463@ads.northwestern.edu::8a4e9d5c-c8a8-4ef7-ba19-933a32f6e378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29" dT="2021-08-19T18:01:21.85" personId="{9A029DCE-C2DE-084C-86E4-D6F1609367A3}" id="{F4EFBD1A-BBC4-C64E-9170-3D18FDFCE71E}">
    <text xml:space="preserve">Something wrong probably happened with this group: none of my mice were shedding 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P18"/>
  <sheetViews>
    <sheetView tabSelected="1" topLeftCell="B1" workbookViewId="0">
      <selection activeCell="L8" sqref="L8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4.83203125" customWidth="1"/>
  </cols>
  <sheetData>
    <row r="1" spans="1:16" ht="44" x14ac:dyDescent="0.2">
      <c r="A1" s="7" t="s">
        <v>5</v>
      </c>
      <c r="B1" s="7" t="s">
        <v>6</v>
      </c>
      <c r="C1" s="7" t="s">
        <v>7</v>
      </c>
      <c r="D1" s="7" t="s">
        <v>8</v>
      </c>
      <c r="E1" s="7" t="s">
        <v>9</v>
      </c>
      <c r="I1" s="1"/>
      <c r="J1" s="14" t="s">
        <v>10</v>
      </c>
      <c r="K1" s="14" t="s">
        <v>11</v>
      </c>
      <c r="L1" s="14" t="s">
        <v>15</v>
      </c>
      <c r="M1" s="14" t="s">
        <v>12</v>
      </c>
      <c r="N1" s="14" t="s">
        <v>13</v>
      </c>
      <c r="P1" s="14" t="s">
        <v>20</v>
      </c>
    </row>
    <row r="2" spans="1:16" x14ac:dyDescent="0.2">
      <c r="A2" s="8"/>
      <c r="B2" s="9"/>
      <c r="C2" s="9"/>
      <c r="D2" s="10"/>
      <c r="E2" s="11"/>
      <c r="I2" s="56" t="s">
        <v>21</v>
      </c>
      <c r="J2" s="39">
        <v>5</v>
      </c>
      <c r="K2" s="40">
        <v>1000000</v>
      </c>
      <c r="L2" s="40">
        <f t="shared" ref="L2:L9" si="0">J2*5*K2</f>
        <v>25000000</v>
      </c>
      <c r="M2" s="58">
        <f>AVERAGE(L2:L3)</f>
        <v>32500000</v>
      </c>
      <c r="N2" s="60">
        <f>LOG10(M2)</f>
        <v>7.5118833609788744</v>
      </c>
      <c r="P2" s="62"/>
    </row>
    <row r="3" spans="1:16" x14ac:dyDescent="0.2">
      <c r="A3" s="12"/>
      <c r="B3" s="9"/>
      <c r="C3" s="9"/>
      <c r="D3" s="13"/>
      <c r="E3" s="19"/>
      <c r="I3" s="57"/>
      <c r="J3" s="41">
        <v>8</v>
      </c>
      <c r="K3" s="42">
        <v>1000000</v>
      </c>
      <c r="L3" s="42">
        <f t="shared" si="0"/>
        <v>40000000</v>
      </c>
      <c r="M3" s="59"/>
      <c r="N3" s="61"/>
      <c r="P3" s="62"/>
    </row>
    <row r="4" spans="1:16" x14ac:dyDescent="0.2">
      <c r="A4" s="8"/>
      <c r="B4" s="9"/>
      <c r="C4" s="9"/>
      <c r="D4" s="10"/>
      <c r="E4" s="11"/>
      <c r="I4" s="56" t="s">
        <v>22</v>
      </c>
      <c r="J4" s="39">
        <v>17</v>
      </c>
      <c r="K4" s="40">
        <v>1000</v>
      </c>
      <c r="L4" s="40">
        <f t="shared" si="0"/>
        <v>85000</v>
      </c>
      <c r="M4" s="58">
        <f>AVERAGE(L4:L5)</f>
        <v>102500</v>
      </c>
      <c r="N4" s="60">
        <f>LOG10(M4)</f>
        <v>5.0107238653917729</v>
      </c>
      <c r="P4" s="62"/>
    </row>
    <row r="5" spans="1:16" x14ac:dyDescent="0.2">
      <c r="A5" s="12"/>
      <c r="B5" s="9"/>
      <c r="C5" s="9"/>
      <c r="D5" s="13"/>
      <c r="E5" s="19"/>
      <c r="I5" s="57"/>
      <c r="J5" s="41">
        <v>24</v>
      </c>
      <c r="K5" s="42">
        <v>1000</v>
      </c>
      <c r="L5" s="42">
        <f t="shared" si="0"/>
        <v>120000</v>
      </c>
      <c r="M5" s="59"/>
      <c r="N5" s="61"/>
      <c r="P5" s="62"/>
    </row>
    <row r="6" spans="1:16" x14ac:dyDescent="0.2">
      <c r="I6" s="56" t="s">
        <v>23</v>
      </c>
      <c r="J6" s="39">
        <v>31</v>
      </c>
      <c r="K6" s="40">
        <v>100</v>
      </c>
      <c r="L6" s="40">
        <f t="shared" si="0"/>
        <v>15500</v>
      </c>
      <c r="M6" s="58">
        <f>AVERAGE(L6:L7)</f>
        <v>17750</v>
      </c>
      <c r="N6" s="60">
        <f>LOG10(M6)</f>
        <v>4.249198357391113</v>
      </c>
      <c r="P6" s="62"/>
    </row>
    <row r="7" spans="1:16" x14ac:dyDescent="0.2">
      <c r="I7" s="57"/>
      <c r="J7" s="41">
        <v>40</v>
      </c>
      <c r="K7" s="42">
        <v>100</v>
      </c>
      <c r="L7" s="42">
        <f t="shared" si="0"/>
        <v>20000</v>
      </c>
      <c r="M7" s="59"/>
      <c r="N7" s="61"/>
      <c r="P7" s="62"/>
    </row>
    <row r="8" spans="1:16" x14ac:dyDescent="0.2">
      <c r="I8" s="56" t="s">
        <v>24</v>
      </c>
      <c r="J8" s="39">
        <v>47</v>
      </c>
      <c r="K8" s="44">
        <v>10</v>
      </c>
      <c r="L8" s="44">
        <f t="shared" si="0"/>
        <v>2350</v>
      </c>
      <c r="M8" s="58">
        <f>AVERAGE(L8:L9)</f>
        <v>2075</v>
      </c>
      <c r="N8" s="60">
        <f>LOG10(M8)</f>
        <v>3.3170181010481117</v>
      </c>
      <c r="P8" s="62"/>
    </row>
    <row r="9" spans="1:16" x14ac:dyDescent="0.2">
      <c r="H9" s="38"/>
      <c r="I9" s="57"/>
      <c r="J9" s="41">
        <v>36</v>
      </c>
      <c r="K9" s="45">
        <v>10</v>
      </c>
      <c r="L9" s="45">
        <f t="shared" si="0"/>
        <v>1800</v>
      </c>
      <c r="M9" s="59"/>
      <c r="N9" s="61"/>
      <c r="O9" s="38"/>
      <c r="P9" s="62"/>
    </row>
    <row r="10" spans="1:16" x14ac:dyDescent="0.2">
      <c r="H10" s="38"/>
      <c r="I10" s="56" t="s">
        <v>36</v>
      </c>
      <c r="J10" s="39">
        <v>40</v>
      </c>
      <c r="K10" s="47">
        <v>1</v>
      </c>
      <c r="L10" s="47">
        <f t="shared" ref="L10:L13" si="1">J10*5*K10</f>
        <v>200</v>
      </c>
      <c r="M10" s="58">
        <f>AVERAGE(L10:L11)</f>
        <v>207.5</v>
      </c>
      <c r="N10" s="60">
        <f>LOG10(M10)</f>
        <v>2.3170181010481117</v>
      </c>
      <c r="O10" s="50"/>
      <c r="P10" s="55"/>
    </row>
    <row r="11" spans="1:16" x14ac:dyDescent="0.2">
      <c r="H11" s="38"/>
      <c r="I11" s="57"/>
      <c r="J11" s="41">
        <v>43</v>
      </c>
      <c r="K11" s="48">
        <v>1</v>
      </c>
      <c r="L11" s="48">
        <f t="shared" si="1"/>
        <v>215</v>
      </c>
      <c r="M11" s="59"/>
      <c r="N11" s="61"/>
      <c r="O11" s="50"/>
      <c r="P11" s="55"/>
    </row>
    <row r="12" spans="1:16" x14ac:dyDescent="0.2">
      <c r="H12" s="38"/>
      <c r="I12" s="56" t="s">
        <v>37</v>
      </c>
      <c r="J12" s="39">
        <v>6</v>
      </c>
      <c r="K12" s="47">
        <v>1</v>
      </c>
      <c r="L12" s="47">
        <f t="shared" si="1"/>
        <v>30</v>
      </c>
      <c r="M12" s="58">
        <f>AVERAGE(L12:L13)</f>
        <v>27.5</v>
      </c>
      <c r="N12" s="60">
        <f>LOG10(M12)</f>
        <v>1.4393326938302626</v>
      </c>
      <c r="O12" s="50"/>
      <c r="P12" s="55"/>
    </row>
    <row r="13" spans="1:16" x14ac:dyDescent="0.2">
      <c r="H13" s="38"/>
      <c r="I13" s="57"/>
      <c r="J13" s="41">
        <v>5</v>
      </c>
      <c r="K13" s="48">
        <v>1</v>
      </c>
      <c r="L13" s="48">
        <f t="shared" si="1"/>
        <v>25</v>
      </c>
      <c r="M13" s="59"/>
      <c r="N13" s="61"/>
      <c r="O13" s="50"/>
      <c r="P13" s="55"/>
    </row>
    <row r="14" spans="1:16" x14ac:dyDescent="0.2">
      <c r="H14" s="38"/>
      <c r="I14" s="51"/>
      <c r="J14" s="50"/>
      <c r="K14" s="52"/>
      <c r="L14" s="52"/>
      <c r="M14" s="53"/>
      <c r="N14" s="54"/>
      <c r="O14" s="50"/>
      <c r="P14" s="50"/>
    </row>
    <row r="15" spans="1:16" x14ac:dyDescent="0.2">
      <c r="H15" s="38"/>
      <c r="I15" s="51"/>
      <c r="J15" s="50"/>
      <c r="K15" s="52"/>
      <c r="L15" s="52"/>
      <c r="M15" s="53"/>
      <c r="N15" s="54"/>
      <c r="O15" s="50"/>
      <c r="P15" s="50"/>
    </row>
    <row r="16" spans="1:16" x14ac:dyDescent="0.2">
      <c r="H16" s="38"/>
      <c r="I16" s="38"/>
      <c r="J16" s="38"/>
      <c r="K16" s="38"/>
      <c r="L16" s="38"/>
      <c r="M16" s="38"/>
      <c r="N16" s="38"/>
      <c r="O16" s="38"/>
      <c r="P16" s="38"/>
    </row>
    <row r="17" spans="8:16" x14ac:dyDescent="0.2">
      <c r="H17" s="38"/>
      <c r="I17" s="38"/>
      <c r="J17" s="38"/>
      <c r="K17" s="38"/>
      <c r="L17" s="38"/>
      <c r="M17" s="38"/>
      <c r="N17" s="38"/>
      <c r="O17" s="38"/>
      <c r="P17" s="38"/>
    </row>
    <row r="18" spans="8:16" x14ac:dyDescent="0.2">
      <c r="H18" s="38"/>
      <c r="I18" s="38"/>
      <c r="J18" s="38"/>
      <c r="K18" s="38"/>
      <c r="L18" s="38"/>
      <c r="M18" s="38"/>
      <c r="N18" s="38"/>
      <c r="O18" s="38"/>
      <c r="P18" s="38"/>
    </row>
  </sheetData>
  <mergeCells count="22">
    <mergeCell ref="I10:I11"/>
    <mergeCell ref="M10:M11"/>
    <mergeCell ref="N10:N11"/>
    <mergeCell ref="I12:I13"/>
    <mergeCell ref="M12:M13"/>
    <mergeCell ref="N12:N13"/>
    <mergeCell ref="P6:P7"/>
    <mergeCell ref="I8:I9"/>
    <mergeCell ref="M8:M9"/>
    <mergeCell ref="N8:N9"/>
    <mergeCell ref="P8:P9"/>
    <mergeCell ref="I6:I7"/>
    <mergeCell ref="M6:M7"/>
    <mergeCell ref="N6:N7"/>
    <mergeCell ref="I4:I5"/>
    <mergeCell ref="M4:M5"/>
    <mergeCell ref="N4:N5"/>
    <mergeCell ref="P2:P3"/>
    <mergeCell ref="P4:P5"/>
    <mergeCell ref="I2:I3"/>
    <mergeCell ref="M2:M3"/>
    <mergeCell ref="N2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V321"/>
  <sheetViews>
    <sheetView topLeftCell="A148" zoomScale="116" zoomScaleNormal="100" workbookViewId="0">
      <selection activeCell="G163" sqref="G163:G167"/>
    </sheetView>
  </sheetViews>
  <sheetFormatPr baseColWidth="10" defaultRowHeight="16" x14ac:dyDescent="0.2"/>
  <cols>
    <col min="1" max="1" width="16.83203125" customWidth="1"/>
  </cols>
  <sheetData>
    <row r="1" spans="1:22" ht="51" x14ac:dyDescent="0.2">
      <c r="A1" s="2" t="s">
        <v>39</v>
      </c>
      <c r="B1" s="63" t="s">
        <v>0</v>
      </c>
      <c r="C1" s="63"/>
      <c r="D1" s="25" t="s">
        <v>1</v>
      </c>
      <c r="E1" s="25" t="s">
        <v>4</v>
      </c>
      <c r="F1" s="25" t="s">
        <v>2</v>
      </c>
      <c r="G1" s="20" t="s">
        <v>3</v>
      </c>
      <c r="H1" s="20"/>
    </row>
    <row r="2" spans="1:22" x14ac:dyDescent="0.2">
      <c r="A2" s="15" t="s">
        <v>16</v>
      </c>
      <c r="B2">
        <v>13</v>
      </c>
      <c r="C2">
        <v>8</v>
      </c>
      <c r="D2">
        <f>AVERAGE(B2:C2)</f>
        <v>10.5</v>
      </c>
      <c r="E2" s="4">
        <v>10000</v>
      </c>
      <c r="F2" s="4">
        <f>1837-1793.6</f>
        <v>43.400000000000091</v>
      </c>
      <c r="G2" s="21">
        <f>LOG10(D2*100*E2/F2*1000)</f>
        <v>8.383699569557427</v>
      </c>
      <c r="H2" s="22"/>
      <c r="R2">
        <v>2.8</v>
      </c>
      <c r="S2">
        <f>R2+0.1</f>
        <v>2.9</v>
      </c>
      <c r="T2">
        <f t="shared" ref="T2:V2" si="0">S2+0.1</f>
        <v>3</v>
      </c>
      <c r="U2">
        <f t="shared" si="0"/>
        <v>3.1</v>
      </c>
      <c r="V2">
        <f t="shared" si="0"/>
        <v>3.2</v>
      </c>
    </row>
    <row r="3" spans="1:22" x14ac:dyDescent="0.2">
      <c r="A3" s="15" t="s">
        <v>17</v>
      </c>
      <c r="B3" s="16">
        <v>75</v>
      </c>
      <c r="C3" s="16">
        <v>35</v>
      </c>
      <c r="D3" s="16">
        <f t="shared" ref="D3:D6" si="1">AVERAGE(B3:C3)</f>
        <v>55</v>
      </c>
      <c r="E3" s="15">
        <v>1000</v>
      </c>
      <c r="F3" s="15">
        <f>1839.3-1813.7</f>
        <v>25.599999999999909</v>
      </c>
      <c r="G3" s="21">
        <f>LOG10(D3*100*E3/F3*1000)</f>
        <v>8.3321227241823959</v>
      </c>
      <c r="H3" s="22"/>
      <c r="R3">
        <v>4.8</v>
      </c>
      <c r="S3">
        <f t="shared" ref="S3:V6" si="2">R3+0.1</f>
        <v>4.8999999999999995</v>
      </c>
      <c r="T3">
        <f t="shared" si="2"/>
        <v>4.9999999999999991</v>
      </c>
      <c r="U3">
        <f t="shared" si="2"/>
        <v>5.0999999999999988</v>
      </c>
      <c r="V3">
        <f t="shared" si="2"/>
        <v>5.1999999999999984</v>
      </c>
    </row>
    <row r="4" spans="1:22" x14ac:dyDescent="0.2">
      <c r="A4" s="15" t="s">
        <v>14</v>
      </c>
      <c r="B4" s="16">
        <v>9</v>
      </c>
      <c r="C4" s="16">
        <v>6</v>
      </c>
      <c r="D4" s="16">
        <f t="shared" si="1"/>
        <v>7.5</v>
      </c>
      <c r="E4" s="15">
        <v>1000</v>
      </c>
      <c r="F4" s="15">
        <f>1862.1-1845.5</f>
        <v>16.599999999999909</v>
      </c>
      <c r="G4" s="21">
        <f t="shared" ref="G4:G6" si="3">LOG10(D4*100*E4/F4*1000)</f>
        <v>7.6549531753516469</v>
      </c>
      <c r="H4" s="22"/>
      <c r="R4">
        <v>6.8</v>
      </c>
      <c r="S4">
        <f t="shared" si="2"/>
        <v>6.8999999999999995</v>
      </c>
      <c r="T4">
        <f t="shared" si="2"/>
        <v>6.9999999999999991</v>
      </c>
      <c r="U4">
        <f t="shared" si="2"/>
        <v>7.0999999999999988</v>
      </c>
      <c r="V4">
        <f t="shared" si="2"/>
        <v>7.1999999999999984</v>
      </c>
    </row>
    <row r="5" spans="1:22" x14ac:dyDescent="0.2">
      <c r="A5" s="15" t="s">
        <v>19</v>
      </c>
      <c r="B5" s="16">
        <v>6</v>
      </c>
      <c r="C5" s="16">
        <v>8</v>
      </c>
      <c r="D5" s="16">
        <f t="shared" si="1"/>
        <v>7</v>
      </c>
      <c r="E5" s="15">
        <v>1000</v>
      </c>
      <c r="F5" s="15">
        <f>1803.3-1764.9</f>
        <v>38.399999999999864</v>
      </c>
      <c r="G5" s="21">
        <f t="shared" si="3"/>
        <v>7.2607668156467273</v>
      </c>
      <c r="H5" s="22"/>
      <c r="R5">
        <v>9.8000000000000007</v>
      </c>
      <c r="S5">
        <f t="shared" si="2"/>
        <v>9.9</v>
      </c>
      <c r="T5">
        <f t="shared" si="2"/>
        <v>10</v>
      </c>
      <c r="U5">
        <f t="shared" si="2"/>
        <v>10.1</v>
      </c>
      <c r="V5">
        <f t="shared" si="2"/>
        <v>10.199999999999999</v>
      </c>
    </row>
    <row r="6" spans="1:22" ht="20" customHeight="1" x14ac:dyDescent="0.2">
      <c r="A6" s="26" t="s">
        <v>65</v>
      </c>
      <c r="B6" s="17"/>
      <c r="C6" s="17"/>
      <c r="D6" s="16" t="e">
        <f t="shared" si="1"/>
        <v>#DIV/0!</v>
      </c>
      <c r="E6" s="26"/>
      <c r="F6" s="26"/>
      <c r="G6" s="21"/>
      <c r="H6" s="22"/>
      <c r="R6">
        <v>13.8</v>
      </c>
      <c r="S6">
        <f t="shared" si="2"/>
        <v>13.9</v>
      </c>
      <c r="T6">
        <f t="shared" si="2"/>
        <v>14</v>
      </c>
      <c r="U6">
        <f t="shared" si="2"/>
        <v>14.1</v>
      </c>
      <c r="V6">
        <f t="shared" si="2"/>
        <v>14.2</v>
      </c>
    </row>
    <row r="7" spans="1:22" x14ac:dyDescent="0.2">
      <c r="A7" s="15"/>
      <c r="B7" s="16"/>
      <c r="C7" s="16"/>
      <c r="D7" s="16"/>
      <c r="E7" s="15"/>
      <c r="F7" s="15"/>
      <c r="G7" s="21"/>
      <c r="H7" s="22"/>
    </row>
    <row r="8" spans="1:22" ht="51" x14ac:dyDescent="0.2">
      <c r="A8" s="2" t="s">
        <v>40</v>
      </c>
      <c r="B8" s="63" t="s">
        <v>0</v>
      </c>
      <c r="C8" s="63"/>
      <c r="D8" s="31" t="s">
        <v>1</v>
      </c>
      <c r="E8" s="31" t="s">
        <v>4</v>
      </c>
      <c r="F8" s="31" t="s">
        <v>2</v>
      </c>
      <c r="G8" s="20" t="s">
        <v>3</v>
      </c>
      <c r="H8" s="22"/>
    </row>
    <row r="9" spans="1:22" x14ac:dyDescent="0.2">
      <c r="A9" s="15" t="s">
        <v>16</v>
      </c>
      <c r="B9">
        <v>154</v>
      </c>
      <c r="C9">
        <v>140</v>
      </c>
      <c r="D9">
        <f>AVERAGE(B9:C9)</f>
        <v>147</v>
      </c>
      <c r="E9" s="4">
        <v>1000</v>
      </c>
      <c r="F9" s="4">
        <f>1916.6-1894.8</f>
        <v>21.799999999999955</v>
      </c>
      <c r="G9" s="21">
        <f>LOG10(D9*100*E9/F9*1000)</f>
        <v>8.8288608411435714</v>
      </c>
      <c r="H9" s="22"/>
    </row>
    <row r="10" spans="1:22" x14ac:dyDescent="0.2">
      <c r="A10" s="15" t="s">
        <v>17</v>
      </c>
      <c r="B10" s="16">
        <v>59</v>
      </c>
      <c r="C10" s="16">
        <v>23</v>
      </c>
      <c r="D10" s="16">
        <f t="shared" ref="D10:D13" si="4">AVERAGE(B10:C10)</f>
        <v>41</v>
      </c>
      <c r="E10" s="15">
        <v>100</v>
      </c>
      <c r="F10" s="15">
        <f>1884.6-1857.5</f>
        <v>27.099999999999909</v>
      </c>
      <c r="G10" s="21">
        <f>LOG10(D10*100*E10/F10*1000)</f>
        <v>7.179814565845331</v>
      </c>
      <c r="H10" s="22"/>
    </row>
    <row r="11" spans="1:22" x14ac:dyDescent="0.2">
      <c r="A11" s="15" t="s">
        <v>14</v>
      </c>
      <c r="B11" s="16">
        <v>14</v>
      </c>
      <c r="C11" s="16">
        <v>24</v>
      </c>
      <c r="D11" s="16">
        <f t="shared" si="4"/>
        <v>19</v>
      </c>
      <c r="E11" s="15">
        <v>10</v>
      </c>
      <c r="F11" s="15">
        <f>1907.1-1803.9</f>
        <v>103.19999999999982</v>
      </c>
      <c r="G11" s="21">
        <f t="shared" ref="G11:G13" si="5">LOG10(D11*100*E11/F11*1000)</f>
        <v>5.2650739036616372</v>
      </c>
      <c r="H11" s="22"/>
    </row>
    <row r="12" spans="1:22" x14ac:dyDescent="0.2">
      <c r="A12" s="15" t="s">
        <v>19</v>
      </c>
      <c r="B12" s="16">
        <v>8</v>
      </c>
      <c r="C12" s="16">
        <v>6</v>
      </c>
      <c r="D12" s="16">
        <f t="shared" si="4"/>
        <v>7</v>
      </c>
      <c r="E12" s="15">
        <v>100</v>
      </c>
      <c r="F12" s="15">
        <f>1797.6-1724.3</f>
        <v>73.299999999999955</v>
      </c>
      <c r="G12" s="21">
        <f t="shared" si="5"/>
        <v>5.9799940653731287</v>
      </c>
      <c r="H12" s="22"/>
    </row>
    <row r="13" spans="1:22" ht="17" x14ac:dyDescent="0.2">
      <c r="A13" s="26" t="s">
        <v>18</v>
      </c>
      <c r="B13" s="17">
        <v>6</v>
      </c>
      <c r="C13" s="17">
        <v>3</v>
      </c>
      <c r="D13" s="16">
        <f t="shared" si="4"/>
        <v>4.5</v>
      </c>
      <c r="E13" s="26">
        <v>1</v>
      </c>
      <c r="F13" s="26">
        <f>1831.1-1792.3</f>
        <v>38.799999999999955</v>
      </c>
      <c r="G13" s="21">
        <f t="shared" si="5"/>
        <v>4.0643807881811371</v>
      </c>
      <c r="H13" s="22"/>
    </row>
    <row r="14" spans="1:22" x14ac:dyDescent="0.2">
      <c r="A14" s="15"/>
      <c r="B14" s="16"/>
      <c r="C14" s="16"/>
      <c r="D14" s="16"/>
      <c r="E14" s="15"/>
      <c r="F14" s="4"/>
      <c r="G14" s="21"/>
      <c r="H14" s="22"/>
    </row>
    <row r="15" spans="1:22" ht="51" x14ac:dyDescent="0.2">
      <c r="A15" s="2" t="s">
        <v>41</v>
      </c>
      <c r="B15" s="63" t="s">
        <v>0</v>
      </c>
      <c r="C15" s="63"/>
      <c r="D15" s="31" t="s">
        <v>1</v>
      </c>
      <c r="E15" s="31" t="s">
        <v>4</v>
      </c>
      <c r="F15" s="31" t="s">
        <v>2</v>
      </c>
      <c r="G15" s="20" t="s">
        <v>3</v>
      </c>
      <c r="H15" s="22"/>
    </row>
    <row r="16" spans="1:22" x14ac:dyDescent="0.2">
      <c r="A16" s="15" t="s">
        <v>16</v>
      </c>
      <c r="B16">
        <v>50</v>
      </c>
      <c r="C16">
        <v>52</v>
      </c>
      <c r="D16">
        <f>AVERAGE(B16:C16)</f>
        <v>51</v>
      </c>
      <c r="E16" s="4">
        <v>1000</v>
      </c>
      <c r="F16" s="4">
        <f>1851.1-1820.2</f>
        <v>30.899999999999864</v>
      </c>
      <c r="G16" s="21">
        <f>LOG10(D16*100*E16/F16*1000)</f>
        <v>8.217611696673103</v>
      </c>
      <c r="H16" s="22"/>
    </row>
    <row r="17" spans="1:8" x14ac:dyDescent="0.2">
      <c r="A17" s="15" t="s">
        <v>17</v>
      </c>
      <c r="B17" s="16">
        <v>130</v>
      </c>
      <c r="C17" s="16">
        <v>96</v>
      </c>
      <c r="D17" s="16">
        <f t="shared" ref="D17:D20" si="6">AVERAGE(B17:C17)</f>
        <v>113</v>
      </c>
      <c r="E17" s="15">
        <v>1000</v>
      </c>
      <c r="F17" s="15">
        <f>1825.5-1806.7</f>
        <v>18.799999999999955</v>
      </c>
      <c r="G17" s="21">
        <f>LOG10(D17*100*E17/F17*1000)</f>
        <v>8.7789205942197412</v>
      </c>
      <c r="H17" s="22"/>
    </row>
    <row r="18" spans="1:8" x14ac:dyDescent="0.2">
      <c r="A18" s="15" t="s">
        <v>14</v>
      </c>
      <c r="B18" s="16">
        <v>70</v>
      </c>
      <c r="C18" s="16">
        <v>61</v>
      </c>
      <c r="D18" s="16">
        <f t="shared" si="6"/>
        <v>65.5</v>
      </c>
      <c r="E18" s="15">
        <v>1000</v>
      </c>
      <c r="F18" s="15">
        <f>1814.2-1749.4</f>
        <v>64.799999999999955</v>
      </c>
      <c r="G18" s="21">
        <f t="shared" ref="G18:G20" si="7">LOG10(D18*100*E18/F18*1000)</f>
        <v>8.0046662941211899</v>
      </c>
      <c r="H18" s="22"/>
    </row>
    <row r="19" spans="1:8" x14ac:dyDescent="0.2">
      <c r="A19" s="15" t="s">
        <v>19</v>
      </c>
      <c r="B19" s="16">
        <v>7</v>
      </c>
      <c r="C19" s="16">
        <v>9</v>
      </c>
      <c r="D19" s="16">
        <f t="shared" si="6"/>
        <v>8</v>
      </c>
      <c r="E19" s="15">
        <v>1000</v>
      </c>
      <c r="F19" s="15">
        <f>1825.4-1737</f>
        <v>88.400000000000091</v>
      </c>
      <c r="G19" s="21">
        <f t="shared" si="7"/>
        <v>6.9566377219788702</v>
      </c>
      <c r="H19" s="22"/>
    </row>
    <row r="20" spans="1:8" ht="17" x14ac:dyDescent="0.2">
      <c r="A20" s="26" t="s">
        <v>18</v>
      </c>
      <c r="B20" s="17">
        <v>2</v>
      </c>
      <c r="C20" s="17">
        <v>3</v>
      </c>
      <c r="D20" s="16">
        <f t="shared" si="6"/>
        <v>2.5</v>
      </c>
      <c r="E20" s="26">
        <v>1</v>
      </c>
      <c r="F20" s="26">
        <f>1982.7-1950.7</f>
        <v>32</v>
      </c>
      <c r="G20" s="21">
        <f t="shared" si="7"/>
        <v>3.8927900303521317</v>
      </c>
      <c r="H20" s="22"/>
    </row>
    <row r="21" spans="1:8" x14ac:dyDescent="0.2">
      <c r="A21" s="15"/>
      <c r="B21" s="16"/>
      <c r="C21" s="16"/>
      <c r="D21" s="16"/>
      <c r="E21" s="15"/>
      <c r="F21" s="15"/>
      <c r="G21" s="21"/>
      <c r="H21" s="22"/>
    </row>
    <row r="22" spans="1:8" ht="51" x14ac:dyDescent="0.2">
      <c r="A22" s="2" t="s">
        <v>43</v>
      </c>
      <c r="B22" s="63" t="s">
        <v>0</v>
      </c>
      <c r="C22" s="63"/>
      <c r="D22" s="31" t="s">
        <v>1</v>
      </c>
      <c r="E22" s="31" t="s">
        <v>4</v>
      </c>
      <c r="F22" s="31" t="s">
        <v>2</v>
      </c>
      <c r="G22" s="20" t="s">
        <v>3</v>
      </c>
      <c r="H22" s="22"/>
    </row>
    <row r="23" spans="1:8" x14ac:dyDescent="0.2">
      <c r="A23" s="15" t="s">
        <v>16</v>
      </c>
      <c r="B23">
        <v>77</v>
      </c>
      <c r="C23">
        <v>86</v>
      </c>
      <c r="D23">
        <f>AVERAGE(B23:C23)</f>
        <v>81.5</v>
      </c>
      <c r="E23" s="4">
        <v>1000</v>
      </c>
      <c r="F23" s="4">
        <f>1845.8-1822.8</f>
        <v>23</v>
      </c>
      <c r="G23" s="21">
        <f>LOG10(D23*100*E23/F23*1000)</f>
        <v>8.5494297727223838</v>
      </c>
      <c r="H23" s="22"/>
    </row>
    <row r="24" spans="1:8" ht="16" customHeight="1" x14ac:dyDescent="0.2">
      <c r="A24" s="15" t="s">
        <v>17</v>
      </c>
      <c r="B24" s="16">
        <v>150</v>
      </c>
      <c r="C24" s="16">
        <v>95</v>
      </c>
      <c r="D24" s="16">
        <f t="shared" ref="D24:D27" si="8">AVERAGE(B24:C24)</f>
        <v>122.5</v>
      </c>
      <c r="E24" s="15">
        <v>1000</v>
      </c>
      <c r="F24" s="15">
        <f>1870.8-1836.9</f>
        <v>33.899999999999864</v>
      </c>
      <c r="G24" s="21">
        <f>LOG10(D24*100*E24/F24*1000)</f>
        <v>8.5579363904974706</v>
      </c>
      <c r="H24" s="22"/>
    </row>
    <row r="25" spans="1:8" ht="16" customHeight="1" x14ac:dyDescent="0.2">
      <c r="A25" s="15" t="s">
        <v>14</v>
      </c>
      <c r="B25" s="16">
        <v>6</v>
      </c>
      <c r="C25" s="16">
        <v>3</v>
      </c>
      <c r="D25" s="16">
        <f t="shared" si="8"/>
        <v>4.5</v>
      </c>
      <c r="E25" s="15">
        <v>1000</v>
      </c>
      <c r="F25" s="15">
        <f>1883.2-1850.2</f>
        <v>33</v>
      </c>
      <c r="G25" s="21">
        <f t="shared" ref="G25:G27" si="9">LOG10(D25*100*E25/F25*1000)</f>
        <v>7.134698573897456</v>
      </c>
      <c r="H25" s="22"/>
    </row>
    <row r="26" spans="1:8" x14ac:dyDescent="0.2">
      <c r="A26" s="15" t="s">
        <v>19</v>
      </c>
      <c r="B26" s="16">
        <v>13</v>
      </c>
      <c r="C26" s="16">
        <v>4</v>
      </c>
      <c r="D26" s="16">
        <f t="shared" si="8"/>
        <v>8.5</v>
      </c>
      <c r="E26" s="15">
        <v>100</v>
      </c>
      <c r="F26" s="15">
        <f>1882.6-1812.7</f>
        <v>69.899999999999864</v>
      </c>
      <c r="G26" s="21">
        <f t="shared" si="9"/>
        <v>6.0849417499686123</v>
      </c>
      <c r="H26" s="22"/>
    </row>
    <row r="27" spans="1:8" ht="17" x14ac:dyDescent="0.2">
      <c r="A27" s="26" t="s">
        <v>18</v>
      </c>
      <c r="B27" s="17">
        <v>21</v>
      </c>
      <c r="C27" s="17">
        <v>24</v>
      </c>
      <c r="D27" s="16">
        <f t="shared" si="8"/>
        <v>22.5</v>
      </c>
      <c r="E27" s="26">
        <v>10</v>
      </c>
      <c r="F27" s="26">
        <f>1862.7-1830.3</f>
        <v>32.400000000000091</v>
      </c>
      <c r="G27" s="21">
        <f t="shared" si="9"/>
        <v>5.8416375079047489</v>
      </c>
      <c r="H27" s="22"/>
    </row>
    <row r="28" spans="1:8" x14ac:dyDescent="0.2">
      <c r="A28" s="15"/>
      <c r="B28" s="16"/>
      <c r="C28" s="16"/>
      <c r="D28" s="16"/>
      <c r="E28" s="15"/>
      <c r="F28" s="4"/>
      <c r="G28" s="21"/>
      <c r="H28" s="22"/>
    </row>
    <row r="29" spans="1:8" ht="51" x14ac:dyDescent="0.2">
      <c r="A29" s="2" t="s">
        <v>44</v>
      </c>
      <c r="B29" s="63" t="s">
        <v>0</v>
      </c>
      <c r="C29" s="63"/>
      <c r="D29" s="31" t="s">
        <v>1</v>
      </c>
      <c r="E29" s="31" t="s">
        <v>4</v>
      </c>
      <c r="F29" s="31" t="s">
        <v>2</v>
      </c>
      <c r="G29" s="20" t="s">
        <v>3</v>
      </c>
      <c r="H29" s="22"/>
    </row>
    <row r="30" spans="1:8" x14ac:dyDescent="0.2">
      <c r="A30" s="15" t="s">
        <v>16</v>
      </c>
      <c r="D30" t="e">
        <f>AVERAGE(B30:C30)</f>
        <v>#DIV/0!</v>
      </c>
      <c r="E30" s="4"/>
      <c r="F30" s="4"/>
      <c r="G30" s="21" t="e">
        <f>LOG10(D30*100*E30/F30*1000)</f>
        <v>#DIV/0!</v>
      </c>
      <c r="H30" s="22"/>
    </row>
    <row r="31" spans="1:8" x14ac:dyDescent="0.2">
      <c r="A31" s="15" t="s">
        <v>17</v>
      </c>
      <c r="B31" s="16"/>
      <c r="C31" s="16"/>
      <c r="D31" s="16" t="e">
        <f t="shared" ref="D31:D34" si="10">AVERAGE(B31:C31)</f>
        <v>#DIV/0!</v>
      </c>
      <c r="E31" s="15"/>
      <c r="F31" s="15"/>
      <c r="G31" s="21" t="e">
        <f>LOG10(D31*100*E31/F31*1000)</f>
        <v>#DIV/0!</v>
      </c>
      <c r="H31" s="22"/>
    </row>
    <row r="32" spans="1:8" x14ac:dyDescent="0.2">
      <c r="A32" s="15" t="s">
        <v>14</v>
      </c>
      <c r="B32" s="16"/>
      <c r="C32" s="16"/>
      <c r="D32" s="16" t="e">
        <f t="shared" si="10"/>
        <v>#DIV/0!</v>
      </c>
      <c r="E32" s="15"/>
      <c r="F32" s="15"/>
      <c r="G32" s="21" t="e">
        <f t="shared" ref="G32:G34" si="11">LOG10(D32*100*E32/F32*1000)</f>
        <v>#DIV/0!</v>
      </c>
      <c r="H32" s="22"/>
    </row>
    <row r="33" spans="1:8" x14ac:dyDescent="0.2">
      <c r="A33" s="15" t="s">
        <v>19</v>
      </c>
      <c r="B33" s="16"/>
      <c r="C33" s="16"/>
      <c r="D33" s="16" t="e">
        <f t="shared" si="10"/>
        <v>#DIV/0!</v>
      </c>
      <c r="E33" s="15"/>
      <c r="F33" s="15"/>
      <c r="G33" s="21" t="e">
        <f t="shared" si="11"/>
        <v>#DIV/0!</v>
      </c>
      <c r="H33" s="20"/>
    </row>
    <row r="34" spans="1:8" ht="17" x14ac:dyDescent="0.2">
      <c r="A34" s="26" t="s">
        <v>18</v>
      </c>
      <c r="B34" s="17"/>
      <c r="C34" s="17"/>
      <c r="D34" s="16" t="e">
        <f t="shared" si="10"/>
        <v>#DIV/0!</v>
      </c>
      <c r="E34" s="26"/>
      <c r="F34" s="26"/>
      <c r="G34" s="21" t="e">
        <f t="shared" si="11"/>
        <v>#DIV/0!</v>
      </c>
      <c r="H34" s="22"/>
    </row>
    <row r="35" spans="1:8" x14ac:dyDescent="0.2">
      <c r="A35" s="15"/>
      <c r="B35" s="16"/>
      <c r="C35" s="16"/>
      <c r="D35" s="16"/>
      <c r="E35" s="15"/>
      <c r="F35" s="15"/>
      <c r="G35" s="21"/>
      <c r="H35" s="22"/>
    </row>
    <row r="36" spans="1:8" ht="51" x14ac:dyDescent="0.2">
      <c r="A36" s="2" t="s">
        <v>45</v>
      </c>
      <c r="B36" s="63" t="s">
        <v>0</v>
      </c>
      <c r="C36" s="63"/>
      <c r="D36" s="31" t="s">
        <v>1</v>
      </c>
      <c r="E36" s="31" t="s">
        <v>4</v>
      </c>
      <c r="F36" s="31" t="s">
        <v>2</v>
      </c>
      <c r="G36" s="20" t="s">
        <v>3</v>
      </c>
      <c r="H36" s="22"/>
    </row>
    <row r="37" spans="1:8" x14ac:dyDescent="0.2">
      <c r="A37" s="15" t="s">
        <v>16</v>
      </c>
      <c r="D37" t="e">
        <f>AVERAGE(B37:C37)</f>
        <v>#DIV/0!</v>
      </c>
      <c r="E37" s="4"/>
      <c r="F37" s="4"/>
      <c r="G37" s="21" t="e">
        <f>LOG10(D37*100*E37/F37*1000)</f>
        <v>#DIV/0!</v>
      </c>
      <c r="H37" s="22"/>
    </row>
    <row r="38" spans="1:8" x14ac:dyDescent="0.2">
      <c r="A38" s="15" t="s">
        <v>17</v>
      </c>
      <c r="B38" s="16"/>
      <c r="C38" s="16"/>
      <c r="D38" s="16" t="e">
        <f t="shared" ref="D38:D41" si="12">AVERAGE(B38:C38)</f>
        <v>#DIV/0!</v>
      </c>
      <c r="E38" s="15"/>
      <c r="F38" s="15"/>
      <c r="G38" s="21" t="e">
        <f>LOG10(D38*100*E38/F38*1000)</f>
        <v>#DIV/0!</v>
      </c>
      <c r="H38" s="22"/>
    </row>
    <row r="39" spans="1:8" x14ac:dyDescent="0.2">
      <c r="A39" s="15" t="s">
        <v>14</v>
      </c>
      <c r="B39" s="16"/>
      <c r="C39" s="16"/>
      <c r="D39" s="16" t="e">
        <f t="shared" si="12"/>
        <v>#DIV/0!</v>
      </c>
      <c r="E39" s="15"/>
      <c r="F39" s="15"/>
      <c r="G39" s="21" t="e">
        <f t="shared" ref="G39:G41" si="13">LOG10(D39*100*E39/F39*1000)</f>
        <v>#DIV/0!</v>
      </c>
      <c r="H39" s="22"/>
    </row>
    <row r="40" spans="1:8" x14ac:dyDescent="0.2">
      <c r="A40" s="15" t="s">
        <v>19</v>
      </c>
      <c r="B40" s="16"/>
      <c r="C40" s="16"/>
      <c r="D40" s="16" t="e">
        <f t="shared" si="12"/>
        <v>#DIV/0!</v>
      </c>
      <c r="E40" s="15"/>
      <c r="F40" s="15"/>
      <c r="G40" s="21" t="e">
        <f t="shared" si="13"/>
        <v>#DIV/0!</v>
      </c>
      <c r="H40" s="22"/>
    </row>
    <row r="41" spans="1:8" ht="17" x14ac:dyDescent="0.2">
      <c r="A41" s="26" t="s">
        <v>18</v>
      </c>
      <c r="B41" s="17"/>
      <c r="C41" s="17"/>
      <c r="D41" s="16" t="e">
        <f t="shared" si="12"/>
        <v>#DIV/0!</v>
      </c>
      <c r="E41" s="26"/>
      <c r="F41" s="26"/>
      <c r="G41" s="21" t="e">
        <f t="shared" si="13"/>
        <v>#DIV/0!</v>
      </c>
      <c r="H41" s="22"/>
    </row>
    <row r="42" spans="1:8" x14ac:dyDescent="0.2">
      <c r="A42" s="15"/>
      <c r="B42" s="16"/>
      <c r="C42" s="16"/>
      <c r="D42" s="16"/>
      <c r="E42" s="15"/>
      <c r="F42" s="4"/>
      <c r="G42" s="21"/>
      <c r="H42" s="22"/>
    </row>
    <row r="43" spans="1:8" ht="51" x14ac:dyDescent="0.2">
      <c r="A43" s="2" t="s">
        <v>46</v>
      </c>
      <c r="B43" s="63" t="s">
        <v>0</v>
      </c>
      <c r="C43" s="63"/>
      <c r="D43" s="31" t="s">
        <v>1</v>
      </c>
      <c r="E43" s="31" t="s">
        <v>4</v>
      </c>
      <c r="F43" s="31" t="s">
        <v>2</v>
      </c>
      <c r="G43" s="20" t="s">
        <v>3</v>
      </c>
      <c r="H43" s="22"/>
    </row>
    <row r="44" spans="1:8" x14ac:dyDescent="0.2">
      <c r="A44" s="15" t="s">
        <v>16</v>
      </c>
      <c r="D44" t="e">
        <f>AVERAGE(B44:C44)</f>
        <v>#DIV/0!</v>
      </c>
      <c r="E44" s="4"/>
      <c r="F44" s="4"/>
      <c r="G44" s="21" t="e">
        <f>LOG10(D44*100*E44/F44*1000)</f>
        <v>#DIV/0!</v>
      </c>
      <c r="H44" s="22"/>
    </row>
    <row r="45" spans="1:8" x14ac:dyDescent="0.2">
      <c r="A45" s="15" t="s">
        <v>17</v>
      </c>
      <c r="B45" s="16"/>
      <c r="C45" s="16"/>
      <c r="D45" s="16" t="e">
        <f t="shared" ref="D45:D48" si="14">AVERAGE(B45:C45)</f>
        <v>#DIV/0!</v>
      </c>
      <c r="E45" s="15"/>
      <c r="F45" s="15"/>
      <c r="G45" s="21" t="e">
        <f>LOG10(D45*100*E45/F45*1000)</f>
        <v>#DIV/0!</v>
      </c>
      <c r="H45" s="22"/>
    </row>
    <row r="46" spans="1:8" x14ac:dyDescent="0.2">
      <c r="A46" s="15" t="s">
        <v>14</v>
      </c>
      <c r="B46" s="16"/>
      <c r="C46" s="16"/>
      <c r="D46" s="16" t="e">
        <f t="shared" si="14"/>
        <v>#DIV/0!</v>
      </c>
      <c r="E46" s="15"/>
      <c r="F46" s="15"/>
      <c r="G46" s="21" t="e">
        <f t="shared" ref="G46:G48" si="15">LOG10(D46*100*E46/F46*1000)</f>
        <v>#DIV/0!</v>
      </c>
      <c r="H46" s="22"/>
    </row>
    <row r="47" spans="1:8" x14ac:dyDescent="0.2">
      <c r="A47" s="15" t="s">
        <v>19</v>
      </c>
      <c r="B47" s="16"/>
      <c r="C47" s="16"/>
      <c r="D47" s="16" t="e">
        <f t="shared" si="14"/>
        <v>#DIV/0!</v>
      </c>
      <c r="E47" s="15"/>
      <c r="F47" s="15"/>
      <c r="G47" s="21" t="e">
        <f t="shared" si="15"/>
        <v>#DIV/0!</v>
      </c>
      <c r="H47" s="22"/>
    </row>
    <row r="48" spans="1:8" ht="17" x14ac:dyDescent="0.2">
      <c r="A48" s="26" t="s">
        <v>18</v>
      </c>
      <c r="B48" s="17"/>
      <c r="C48" s="17"/>
      <c r="D48" s="16" t="e">
        <f t="shared" si="14"/>
        <v>#DIV/0!</v>
      </c>
      <c r="E48" s="26"/>
      <c r="F48" s="26"/>
      <c r="G48" s="21" t="e">
        <f t="shared" si="15"/>
        <v>#DIV/0!</v>
      </c>
      <c r="H48" s="22"/>
    </row>
    <row r="49" spans="1:8" x14ac:dyDescent="0.2">
      <c r="A49" s="28"/>
      <c r="B49" s="63"/>
      <c r="C49" s="63"/>
      <c r="D49" s="25"/>
      <c r="E49" s="25"/>
      <c r="F49" s="25"/>
      <c r="G49" s="20"/>
      <c r="H49" s="22"/>
    </row>
    <row r="50" spans="1:8" ht="51" x14ac:dyDescent="0.2">
      <c r="A50" s="2" t="s">
        <v>47</v>
      </c>
      <c r="B50" s="63" t="s">
        <v>0</v>
      </c>
      <c r="C50" s="63"/>
      <c r="D50" s="31" t="s">
        <v>1</v>
      </c>
      <c r="E50" s="31" t="s">
        <v>4</v>
      </c>
      <c r="F50" s="31" t="s">
        <v>2</v>
      </c>
      <c r="G50" s="20" t="s">
        <v>3</v>
      </c>
      <c r="H50" s="22"/>
    </row>
    <row r="51" spans="1:8" x14ac:dyDescent="0.2">
      <c r="A51" s="15" t="s">
        <v>16</v>
      </c>
      <c r="D51" t="e">
        <f>AVERAGE(B51:C51)</f>
        <v>#DIV/0!</v>
      </c>
      <c r="E51" s="4"/>
      <c r="F51" s="4"/>
      <c r="G51" s="21" t="e">
        <f>LOG10(D51*100*E51/F51*1000)</f>
        <v>#DIV/0!</v>
      </c>
      <c r="H51" s="22"/>
    </row>
    <row r="52" spans="1:8" x14ac:dyDescent="0.2">
      <c r="A52" s="15" t="s">
        <v>17</v>
      </c>
      <c r="B52" s="16"/>
      <c r="C52" s="16"/>
      <c r="D52" s="16" t="e">
        <f t="shared" ref="D52:D55" si="16">AVERAGE(B52:C52)</f>
        <v>#DIV/0!</v>
      </c>
      <c r="E52" s="15"/>
      <c r="F52" s="15"/>
      <c r="G52" s="21" t="e">
        <f>LOG10(D52*100*E52/F52*1000)</f>
        <v>#DIV/0!</v>
      </c>
      <c r="H52" s="22"/>
    </row>
    <row r="53" spans="1:8" x14ac:dyDescent="0.2">
      <c r="A53" s="15" t="s">
        <v>14</v>
      </c>
      <c r="B53" s="16"/>
      <c r="C53" s="16"/>
      <c r="D53" s="16" t="e">
        <f t="shared" si="16"/>
        <v>#DIV/0!</v>
      </c>
      <c r="E53" s="15"/>
      <c r="F53" s="15"/>
      <c r="G53" s="21" t="e">
        <f t="shared" ref="G53:G54" si="17">LOG10(D53*100*E53/F53*1000)</f>
        <v>#DIV/0!</v>
      </c>
      <c r="H53" s="22"/>
    </row>
    <row r="54" spans="1:8" x14ac:dyDescent="0.2">
      <c r="A54" s="15" t="s">
        <v>19</v>
      </c>
      <c r="B54" s="16"/>
      <c r="C54" s="16"/>
      <c r="D54" s="16" t="e">
        <f t="shared" si="16"/>
        <v>#DIV/0!</v>
      </c>
      <c r="E54" s="15"/>
      <c r="F54" s="15"/>
      <c r="G54" s="21" t="e">
        <f t="shared" si="17"/>
        <v>#DIV/0!</v>
      </c>
      <c r="H54" s="22"/>
    </row>
    <row r="55" spans="1:8" ht="17" x14ac:dyDescent="0.2">
      <c r="A55" s="26" t="s">
        <v>18</v>
      </c>
      <c r="B55" s="17"/>
      <c r="C55" s="17"/>
      <c r="D55" s="16" t="e">
        <f t="shared" si="16"/>
        <v>#DIV/0!</v>
      </c>
      <c r="E55" s="26"/>
      <c r="F55" s="26"/>
      <c r="G55" s="21" t="e">
        <f>LOG10(D55*100*E55/F55*1000)</f>
        <v>#DIV/0!</v>
      </c>
      <c r="H55" s="22"/>
    </row>
    <row r="56" spans="1:8" x14ac:dyDescent="0.2">
      <c r="A56" s="15"/>
      <c r="B56" s="16"/>
      <c r="C56" s="16"/>
      <c r="D56" s="16"/>
      <c r="E56" s="15"/>
      <c r="F56" s="15"/>
      <c r="G56" s="22"/>
      <c r="H56" s="22"/>
    </row>
    <row r="57" spans="1:8" ht="51" x14ac:dyDescent="0.2">
      <c r="A57" s="2" t="s">
        <v>48</v>
      </c>
      <c r="B57" s="63" t="s">
        <v>0</v>
      </c>
      <c r="C57" s="63"/>
      <c r="D57" s="31" t="s">
        <v>1</v>
      </c>
      <c r="E57" s="31" t="s">
        <v>4</v>
      </c>
      <c r="F57" s="31" t="s">
        <v>2</v>
      </c>
      <c r="G57" s="20" t="s">
        <v>3</v>
      </c>
      <c r="H57" s="22"/>
    </row>
    <row r="58" spans="1:8" x14ac:dyDescent="0.2">
      <c r="A58" s="15" t="s">
        <v>16</v>
      </c>
      <c r="B58">
        <v>6</v>
      </c>
      <c r="C58">
        <v>4</v>
      </c>
      <c r="D58">
        <f>AVERAGE(B58:C58)</f>
        <v>5</v>
      </c>
      <c r="E58" s="4">
        <v>10000</v>
      </c>
      <c r="F58" s="4">
        <f>1911.9-1885.7</f>
        <v>26.200000000000045</v>
      </c>
      <c r="G58" s="21">
        <f>LOG10(D58*100*E58/F58*1000)</f>
        <v>8.2806687130162722</v>
      </c>
      <c r="H58" s="22"/>
    </row>
    <row r="59" spans="1:8" x14ac:dyDescent="0.2">
      <c r="A59" s="15" t="s">
        <v>17</v>
      </c>
      <c r="B59" s="16">
        <v>50</v>
      </c>
      <c r="C59" s="16">
        <v>26</v>
      </c>
      <c r="D59" s="16">
        <f t="shared" ref="D59:D62" si="18">AVERAGE(B59:C59)</f>
        <v>38</v>
      </c>
      <c r="E59" s="15">
        <v>1000</v>
      </c>
      <c r="F59" s="15">
        <f>1799.1-1759.8</f>
        <v>39.299999999999955</v>
      </c>
      <c r="G59" s="21">
        <f>LOG10(D59*100*E59/F59*1000)</f>
        <v>7.985391046241384</v>
      </c>
      <c r="H59" s="22"/>
    </row>
    <row r="60" spans="1:8" x14ac:dyDescent="0.2">
      <c r="A60" s="15" t="s">
        <v>14</v>
      </c>
      <c r="B60" s="16">
        <v>9</v>
      </c>
      <c r="C60" s="16">
        <v>8</v>
      </c>
      <c r="D60" s="16">
        <f t="shared" si="18"/>
        <v>8.5</v>
      </c>
      <c r="E60" s="15">
        <v>100</v>
      </c>
      <c r="F60" s="15">
        <f>1922-1846.9</f>
        <v>75.099999999999909</v>
      </c>
      <c r="G60" s="21">
        <f t="shared" ref="G60:G62" si="19">LOG10(D60*100*E60/F60*1000)</f>
        <v>6.0537789887101248</v>
      </c>
      <c r="H60" s="22"/>
    </row>
    <row r="61" spans="1:8" x14ac:dyDescent="0.2">
      <c r="A61" s="15" t="s">
        <v>19</v>
      </c>
      <c r="B61" s="16">
        <v>10</v>
      </c>
      <c r="C61" s="16">
        <v>5</v>
      </c>
      <c r="D61" s="16">
        <f t="shared" si="18"/>
        <v>7.5</v>
      </c>
      <c r="E61" s="15">
        <v>10</v>
      </c>
      <c r="F61" s="15">
        <f>1900.7-1859.6</f>
        <v>41.100000000000136</v>
      </c>
      <c r="G61" s="21">
        <f t="shared" si="19"/>
        <v>5.261219441515629</v>
      </c>
      <c r="H61" s="22"/>
    </row>
    <row r="62" spans="1:8" ht="17" x14ac:dyDescent="0.2">
      <c r="A62" s="26" t="s">
        <v>18</v>
      </c>
      <c r="B62" s="17">
        <v>31</v>
      </c>
      <c r="C62" s="17">
        <v>27</v>
      </c>
      <c r="D62" s="16">
        <f t="shared" si="18"/>
        <v>29</v>
      </c>
      <c r="E62" s="26">
        <v>1</v>
      </c>
      <c r="F62" s="26">
        <f>1887.6-1854</f>
        <v>33.599999999999909</v>
      </c>
      <c r="G62" s="21">
        <f t="shared" si="19"/>
        <v>4.9360587205091129</v>
      </c>
      <c r="H62" s="22"/>
    </row>
    <row r="63" spans="1:8" x14ac:dyDescent="0.2">
      <c r="A63" s="15"/>
      <c r="B63" s="16"/>
      <c r="C63" s="16"/>
      <c r="D63" s="16"/>
      <c r="E63" s="15"/>
      <c r="F63" s="15"/>
      <c r="G63" s="21"/>
      <c r="H63" s="22"/>
    </row>
    <row r="64" spans="1:8" ht="51" x14ac:dyDescent="0.2">
      <c r="A64" s="2" t="s">
        <v>49</v>
      </c>
      <c r="B64" s="63" t="s">
        <v>0</v>
      </c>
      <c r="C64" s="63"/>
      <c r="D64" s="31" t="s">
        <v>1</v>
      </c>
      <c r="E64" s="31" t="s">
        <v>4</v>
      </c>
      <c r="F64" s="31" t="s">
        <v>2</v>
      </c>
      <c r="G64" s="20" t="s">
        <v>3</v>
      </c>
      <c r="H64" s="20"/>
    </row>
    <row r="65" spans="1:8" x14ac:dyDescent="0.2">
      <c r="A65" s="15" t="s">
        <v>16</v>
      </c>
      <c r="B65">
        <v>55</v>
      </c>
      <c r="C65">
        <v>58</v>
      </c>
      <c r="D65">
        <f>AVERAGE(B65:C65)</f>
        <v>56.5</v>
      </c>
      <c r="E65" s="4">
        <v>1000</v>
      </c>
      <c r="F65" s="4">
        <f>1791.1-1765.1</f>
        <v>26</v>
      </c>
      <c r="G65" s="21">
        <f>LOG10(D65*100*E65/F65*1000)</f>
        <v>8.3370750998486205</v>
      </c>
      <c r="H65" s="22"/>
    </row>
    <row r="66" spans="1:8" x14ac:dyDescent="0.2">
      <c r="A66" s="15" t="s">
        <v>17</v>
      </c>
      <c r="B66" s="16">
        <v>28</v>
      </c>
      <c r="C66" s="16">
        <v>7</v>
      </c>
      <c r="D66" s="16">
        <f t="shared" ref="D66:D69" si="20">AVERAGE(B66:C66)</f>
        <v>17.5</v>
      </c>
      <c r="E66" s="15">
        <v>1000</v>
      </c>
      <c r="F66" s="15">
        <f>1851.1-1825.8</f>
        <v>25.299999999999955</v>
      </c>
      <c r="G66" s="21">
        <f>LOG10(D66*100*E66/F66*1000)</f>
        <v>7.8399175275104769</v>
      </c>
      <c r="H66" s="22"/>
    </row>
    <row r="67" spans="1:8" x14ac:dyDescent="0.2">
      <c r="A67" s="15" t="s">
        <v>14</v>
      </c>
      <c r="B67" s="16">
        <v>15</v>
      </c>
      <c r="C67" s="16">
        <v>26</v>
      </c>
      <c r="D67" s="16">
        <f>AVERAGE(B67:C67)</f>
        <v>20.5</v>
      </c>
      <c r="E67" s="15">
        <v>100</v>
      </c>
      <c r="F67" s="15">
        <f>1820.7-1791.4</f>
        <v>29.299999999999955</v>
      </c>
      <c r="G67" s="21">
        <f t="shared" ref="G67:G69" si="21">LOG10(D67*100*E67/F67*1000)</f>
        <v>6.8448862407016451</v>
      </c>
      <c r="H67" s="22"/>
    </row>
    <row r="68" spans="1:8" x14ac:dyDescent="0.2">
      <c r="A68" s="15" t="s">
        <v>19</v>
      </c>
      <c r="B68" s="16">
        <v>34</v>
      </c>
      <c r="C68" s="16">
        <v>29</v>
      </c>
      <c r="D68" s="16">
        <f t="shared" si="20"/>
        <v>31.5</v>
      </c>
      <c r="E68" s="15">
        <v>10</v>
      </c>
      <c r="F68" s="15">
        <f>1837.1-1810.8</f>
        <v>26.299999999999955</v>
      </c>
      <c r="G68" s="21">
        <f t="shared" si="21"/>
        <v>6.0783548052998437</v>
      </c>
      <c r="H68" s="22"/>
    </row>
    <row r="69" spans="1:8" ht="17" x14ac:dyDescent="0.2">
      <c r="A69" s="26" t="s">
        <v>18</v>
      </c>
      <c r="B69" s="17">
        <v>80</v>
      </c>
      <c r="C69" s="17">
        <v>68</v>
      </c>
      <c r="D69" s="16">
        <f t="shared" si="20"/>
        <v>74</v>
      </c>
      <c r="E69" s="26">
        <v>100</v>
      </c>
      <c r="F69" s="26">
        <f>1870.5-1829.9</f>
        <v>40.599999999999909</v>
      </c>
      <c r="G69" s="21">
        <f t="shared" si="21"/>
        <v>7.2607056861537833</v>
      </c>
      <c r="H69" s="22"/>
    </row>
    <row r="70" spans="1:8" x14ac:dyDescent="0.2">
      <c r="A70" s="15"/>
      <c r="B70" s="16"/>
      <c r="C70" s="16"/>
      <c r="D70" s="16"/>
      <c r="E70" s="15"/>
      <c r="F70" s="4"/>
      <c r="G70" s="21"/>
      <c r="H70" s="22"/>
    </row>
    <row r="71" spans="1:8" ht="51" x14ac:dyDescent="0.2">
      <c r="A71" s="2" t="s">
        <v>50</v>
      </c>
      <c r="B71" s="63" t="s">
        <v>0</v>
      </c>
      <c r="C71" s="63"/>
      <c r="D71" s="31" t="s">
        <v>1</v>
      </c>
      <c r="E71" s="31" t="s">
        <v>4</v>
      </c>
      <c r="F71" s="31" t="s">
        <v>2</v>
      </c>
      <c r="G71" s="20" t="s">
        <v>3</v>
      </c>
      <c r="H71" s="22"/>
    </row>
    <row r="72" spans="1:8" x14ac:dyDescent="0.2">
      <c r="A72" s="15" t="s">
        <v>16</v>
      </c>
      <c r="B72">
        <v>41</v>
      </c>
      <c r="C72">
        <v>41</v>
      </c>
      <c r="D72">
        <f>AVERAGE(B72:C72)</f>
        <v>41</v>
      </c>
      <c r="E72" s="4">
        <v>100</v>
      </c>
      <c r="F72" s="4">
        <f>1874.8-1832.6</f>
        <v>42.200000000000045</v>
      </c>
      <c r="G72" s="21">
        <f>LOG10(D72*100*E72/F72*1000)</f>
        <v>6.9874714057580611</v>
      </c>
      <c r="H72" s="22"/>
    </row>
    <row r="73" spans="1:8" x14ac:dyDescent="0.2">
      <c r="A73" s="15" t="s">
        <v>17</v>
      </c>
      <c r="B73" s="16">
        <v>69</v>
      </c>
      <c r="C73" s="16">
        <v>52</v>
      </c>
      <c r="D73" s="16">
        <f t="shared" ref="D73:D76" si="22">AVERAGE(B73:C73)</f>
        <v>60.5</v>
      </c>
      <c r="E73" s="15">
        <v>10000</v>
      </c>
      <c r="F73" s="15">
        <f>1853.8-1808.8</f>
        <v>45</v>
      </c>
      <c r="G73" s="21">
        <f>LOG10(D73*100*E73/F73*1000)</f>
        <v>9.1285428608771255</v>
      </c>
      <c r="H73" s="22"/>
    </row>
    <row r="74" spans="1:8" x14ac:dyDescent="0.2">
      <c r="A74" s="15" t="s">
        <v>14</v>
      </c>
      <c r="B74" s="16">
        <v>126</v>
      </c>
      <c r="C74" s="16">
        <v>120</v>
      </c>
      <c r="D74" s="16">
        <f t="shared" si="22"/>
        <v>123</v>
      </c>
      <c r="E74" s="15">
        <v>1000</v>
      </c>
      <c r="F74" s="15">
        <f>1806.9-1760.5</f>
        <v>46.400000000000091</v>
      </c>
      <c r="G74" s="21">
        <f t="shared" ref="G74:G76" si="23">LOG10(D74*100*E74/F74*1000)</f>
        <v>8.4233871308845156</v>
      </c>
      <c r="H74" s="22"/>
    </row>
    <row r="75" spans="1:8" x14ac:dyDescent="0.2">
      <c r="A75" s="15" t="s">
        <v>19</v>
      </c>
      <c r="B75" s="16">
        <v>9</v>
      </c>
      <c r="C75" s="16">
        <v>5</v>
      </c>
      <c r="D75" s="16">
        <f t="shared" si="22"/>
        <v>7</v>
      </c>
      <c r="E75" s="15">
        <v>100</v>
      </c>
      <c r="F75" s="15">
        <f>1908.9-1791.1</f>
        <v>117.80000000000018</v>
      </c>
      <c r="G75" s="21">
        <f t="shared" si="23"/>
        <v>5.7739527495631737</v>
      </c>
      <c r="H75" s="22"/>
    </row>
    <row r="76" spans="1:8" ht="17" x14ac:dyDescent="0.2">
      <c r="A76" s="26" t="s">
        <v>18</v>
      </c>
      <c r="B76" s="17">
        <v>13</v>
      </c>
      <c r="C76" s="17">
        <v>11</v>
      </c>
      <c r="D76" s="16">
        <f t="shared" si="22"/>
        <v>12</v>
      </c>
      <c r="E76" s="26">
        <v>1000</v>
      </c>
      <c r="F76" s="26">
        <f>2059.3-1902.7</f>
        <v>156.60000000000014</v>
      </c>
      <c r="G76" s="21">
        <f t="shared" si="23"/>
        <v>6.8843894883256995</v>
      </c>
      <c r="H76" s="22"/>
    </row>
    <row r="77" spans="1:8" x14ac:dyDescent="0.2">
      <c r="A77" s="28"/>
      <c r="B77" s="63"/>
      <c r="C77" s="63"/>
      <c r="D77" s="31"/>
      <c r="E77" s="31"/>
      <c r="F77" s="31"/>
      <c r="G77" s="20"/>
      <c r="H77" s="22"/>
    </row>
    <row r="78" spans="1:8" ht="51" x14ac:dyDescent="0.2">
      <c r="A78" s="2" t="s">
        <v>51</v>
      </c>
      <c r="B78" s="63" t="s">
        <v>0</v>
      </c>
      <c r="C78" s="63"/>
      <c r="D78" s="31" t="s">
        <v>1</v>
      </c>
      <c r="E78" s="31" t="s">
        <v>4</v>
      </c>
      <c r="F78" s="31" t="s">
        <v>2</v>
      </c>
      <c r="G78" s="20" t="s">
        <v>3</v>
      </c>
      <c r="H78" s="22"/>
    </row>
    <row r="79" spans="1:8" x14ac:dyDescent="0.2">
      <c r="A79" s="15" t="s">
        <v>16</v>
      </c>
      <c r="B79">
        <v>11</v>
      </c>
      <c r="C79">
        <v>10</v>
      </c>
      <c r="D79">
        <f>AVERAGE(B79:C79)</f>
        <v>10.5</v>
      </c>
      <c r="E79" s="4">
        <v>1000</v>
      </c>
      <c r="F79" s="4">
        <f>1805.9-1781.8</f>
        <v>24.100000000000136</v>
      </c>
      <c r="G79" s="21">
        <f>LOG10(D79*100*E79/F79*1000)</f>
        <v>7.6391722564950673</v>
      </c>
      <c r="H79" s="22"/>
    </row>
    <row r="80" spans="1:8" x14ac:dyDescent="0.2">
      <c r="A80" s="15" t="s">
        <v>17</v>
      </c>
      <c r="B80" s="16">
        <v>100</v>
      </c>
      <c r="C80" s="16">
        <v>150</v>
      </c>
      <c r="D80" s="16">
        <f t="shared" ref="D80:D83" si="24">AVERAGE(B80:C80)</f>
        <v>125</v>
      </c>
      <c r="E80" s="15">
        <v>100</v>
      </c>
      <c r="F80" s="15">
        <f>1861.2-1829</f>
        <v>32.200000000000045</v>
      </c>
      <c r="G80" s="21">
        <f>LOG10(D80*100*E80/F80*1000)</f>
        <v>7.589054141312225</v>
      </c>
      <c r="H80" s="22"/>
    </row>
    <row r="81" spans="1:8" x14ac:dyDescent="0.2">
      <c r="A81" s="15" t="s">
        <v>14</v>
      </c>
      <c r="B81" s="16">
        <v>44</v>
      </c>
      <c r="C81" s="16">
        <v>50</v>
      </c>
      <c r="D81" s="16">
        <f t="shared" si="24"/>
        <v>47</v>
      </c>
      <c r="E81" s="15">
        <v>1</v>
      </c>
      <c r="F81" s="15">
        <f>1909.2-1879.6</f>
        <v>29.600000000000136</v>
      </c>
      <c r="G81" s="21">
        <f t="shared" ref="G81:G83" si="25">LOG10(D81*100*E81/F81*1000)</f>
        <v>5.2008061468767766</v>
      </c>
      <c r="H81" s="22"/>
    </row>
    <row r="82" spans="1:8" x14ac:dyDescent="0.2">
      <c r="A82" s="15" t="s">
        <v>19</v>
      </c>
      <c r="B82" s="16">
        <v>9</v>
      </c>
      <c r="C82" s="16">
        <v>6</v>
      </c>
      <c r="D82" s="16">
        <f t="shared" si="24"/>
        <v>7.5</v>
      </c>
      <c r="E82" s="15">
        <v>100</v>
      </c>
      <c r="F82" s="15">
        <f>1908.2-1852.1</f>
        <v>56.100000000000136</v>
      </c>
      <c r="G82" s="21">
        <f t="shared" si="25"/>
        <v>6.126098402135538</v>
      </c>
      <c r="H82" s="22"/>
    </row>
    <row r="83" spans="1:8" ht="17" x14ac:dyDescent="0.2">
      <c r="A83" s="26" t="s">
        <v>18</v>
      </c>
      <c r="B83" s="17">
        <v>13</v>
      </c>
      <c r="C83" s="17">
        <v>11</v>
      </c>
      <c r="D83" s="16">
        <f t="shared" si="24"/>
        <v>12</v>
      </c>
      <c r="E83" s="26">
        <v>1000</v>
      </c>
      <c r="F83" s="26">
        <f>1893.8-1830.2</f>
        <v>63.599999999999909</v>
      </c>
      <c r="G83" s="21">
        <f t="shared" si="25"/>
        <v>7.2757241303992117</v>
      </c>
      <c r="H83" s="22"/>
    </row>
    <row r="84" spans="1:8" x14ac:dyDescent="0.2">
      <c r="A84" s="15"/>
      <c r="B84" s="16"/>
      <c r="C84" s="16"/>
      <c r="D84" s="16"/>
      <c r="E84" s="15"/>
      <c r="F84" s="15"/>
      <c r="G84" s="21"/>
      <c r="H84" s="22"/>
    </row>
    <row r="85" spans="1:8" ht="51" x14ac:dyDescent="0.2">
      <c r="A85" s="2" t="s">
        <v>52</v>
      </c>
      <c r="B85" s="63" t="s">
        <v>0</v>
      </c>
      <c r="C85" s="63"/>
      <c r="D85" s="31" t="s">
        <v>1</v>
      </c>
      <c r="E85" s="31" t="s">
        <v>4</v>
      </c>
      <c r="F85" s="31" t="s">
        <v>2</v>
      </c>
      <c r="G85" s="20" t="s">
        <v>3</v>
      </c>
      <c r="H85" s="22"/>
    </row>
    <row r="86" spans="1:8" x14ac:dyDescent="0.2">
      <c r="A86" s="15" t="s">
        <v>16</v>
      </c>
      <c r="B86">
        <v>7</v>
      </c>
      <c r="C86">
        <v>5</v>
      </c>
      <c r="D86">
        <f>AVERAGE(B86:C86)</f>
        <v>6</v>
      </c>
      <c r="E86" s="4">
        <v>10000</v>
      </c>
      <c r="F86" s="4">
        <f>1879.8-1858.7</f>
        <v>21.099999999999909</v>
      </c>
      <c r="G86" s="21">
        <f>LOG10(D86*100*E86/F86*1000)</f>
        <v>8.4538687950859526</v>
      </c>
      <c r="H86" s="22"/>
    </row>
    <row r="87" spans="1:8" x14ac:dyDescent="0.2">
      <c r="A87" s="15" t="s">
        <v>17</v>
      </c>
      <c r="B87" s="16">
        <v>41</v>
      </c>
      <c r="C87" s="16">
        <v>8</v>
      </c>
      <c r="D87" s="16">
        <f t="shared" ref="D87:D90" si="26">AVERAGE(B87:C87)</f>
        <v>24.5</v>
      </c>
      <c r="E87" s="15">
        <v>10000</v>
      </c>
      <c r="F87" s="15">
        <f>1932.7-1890.9</f>
        <v>41.799999999999955</v>
      </c>
      <c r="G87" s="21">
        <f>LOG10(D87*100*E87/F87*1000)</f>
        <v>8.7679898025894971</v>
      </c>
      <c r="H87" s="22"/>
    </row>
    <row r="88" spans="1:8" x14ac:dyDescent="0.2">
      <c r="A88" s="15" t="s">
        <v>14</v>
      </c>
      <c r="B88" s="16">
        <v>65</v>
      </c>
      <c r="C88" s="16">
        <v>66</v>
      </c>
      <c r="D88" s="16">
        <f t="shared" si="26"/>
        <v>65.5</v>
      </c>
      <c r="E88" s="15">
        <v>100</v>
      </c>
      <c r="F88" s="15">
        <f>1825.4-1808.5</f>
        <v>16.900000000000091</v>
      </c>
      <c r="G88" s="21">
        <f t="shared" ref="G88:G90" si="27">LOG10(D88*100*E88/F88*1000)</f>
        <v>7.5883545953781075</v>
      </c>
      <c r="H88" s="22"/>
    </row>
    <row r="89" spans="1:8" x14ac:dyDescent="0.2">
      <c r="A89" s="15" t="s">
        <v>19</v>
      </c>
      <c r="B89" s="16">
        <v>6</v>
      </c>
      <c r="C89" s="16">
        <v>9</v>
      </c>
      <c r="D89" s="16">
        <f t="shared" si="26"/>
        <v>7.5</v>
      </c>
      <c r="E89" s="15">
        <v>100</v>
      </c>
      <c r="F89" s="15">
        <f>1759.9-1727.1</f>
        <v>32.800000000000182</v>
      </c>
      <c r="G89" s="21">
        <f t="shared" si="27"/>
        <v>6.3591874196800182</v>
      </c>
      <c r="H89" s="22"/>
    </row>
    <row r="90" spans="1:8" ht="17" x14ac:dyDescent="0.2">
      <c r="A90" s="26" t="s">
        <v>18</v>
      </c>
      <c r="B90" s="17">
        <v>5</v>
      </c>
      <c r="C90" s="17">
        <v>6</v>
      </c>
      <c r="D90" s="16">
        <f t="shared" si="26"/>
        <v>5.5</v>
      </c>
      <c r="E90" s="26">
        <v>100</v>
      </c>
      <c r="F90" s="26">
        <f>1893.4-1828.1</f>
        <v>65.300000000000182</v>
      </c>
      <c r="G90" s="21">
        <f t="shared" si="27"/>
        <v>5.9254495082191685</v>
      </c>
      <c r="H90" s="22"/>
    </row>
    <row r="91" spans="1:8" x14ac:dyDescent="0.2">
      <c r="A91" s="15"/>
      <c r="B91" s="16"/>
      <c r="C91" s="16"/>
      <c r="D91" s="16"/>
      <c r="E91" s="15"/>
      <c r="F91" s="15"/>
      <c r="G91" s="21"/>
      <c r="H91" s="22"/>
    </row>
    <row r="92" spans="1:8" ht="51" x14ac:dyDescent="0.2">
      <c r="A92" s="2" t="s">
        <v>53</v>
      </c>
      <c r="B92" s="63" t="s">
        <v>0</v>
      </c>
      <c r="C92" s="63"/>
      <c r="D92" s="31" t="s">
        <v>1</v>
      </c>
      <c r="E92" s="31" t="s">
        <v>4</v>
      </c>
      <c r="F92" s="31" t="s">
        <v>2</v>
      </c>
      <c r="G92" s="20" t="s">
        <v>3</v>
      </c>
      <c r="H92" s="22"/>
    </row>
    <row r="93" spans="1:8" x14ac:dyDescent="0.2">
      <c r="A93" s="15" t="s">
        <v>16</v>
      </c>
      <c r="B93">
        <v>9</v>
      </c>
      <c r="C93">
        <v>8</v>
      </c>
      <c r="D93">
        <f>AVERAGE(B93:C93)</f>
        <v>8.5</v>
      </c>
      <c r="E93" s="4">
        <v>1</v>
      </c>
      <c r="F93" s="4">
        <f>1806.6-1754.2</f>
        <v>52.399999999999864</v>
      </c>
      <c r="G93" s="21">
        <f>LOG10(D93*100*E93/F93*1000)</f>
        <v>4.2100876387305668</v>
      </c>
      <c r="H93" s="22"/>
    </row>
    <row r="94" spans="1:8" x14ac:dyDescent="0.2">
      <c r="A94" s="15" t="s">
        <v>17</v>
      </c>
      <c r="B94" s="16">
        <v>36</v>
      </c>
      <c r="C94" s="16">
        <v>13</v>
      </c>
      <c r="D94" s="16">
        <f t="shared" ref="D94:D97" si="28">AVERAGE(B94:C94)</f>
        <v>24.5</v>
      </c>
      <c r="E94" s="15">
        <v>1</v>
      </c>
      <c r="F94" s="15">
        <f>1886.6-1860.8</f>
        <v>25.799999999999955</v>
      </c>
      <c r="G94" s="21">
        <f>LOG10(D94*100*E94/F94*1000)</f>
        <v>4.9775463784013034</v>
      </c>
      <c r="H94" s="22"/>
    </row>
    <row r="95" spans="1:8" x14ac:dyDescent="0.2">
      <c r="A95" s="15" t="s">
        <v>14</v>
      </c>
      <c r="B95" s="16">
        <v>9</v>
      </c>
      <c r="C95" s="16">
        <v>6</v>
      </c>
      <c r="D95" s="16">
        <f t="shared" si="28"/>
        <v>7.5</v>
      </c>
      <c r="E95" s="15">
        <v>1</v>
      </c>
      <c r="F95" s="15">
        <f>1982.6-1958.9</f>
        <v>23.699999999999818</v>
      </c>
      <c r="G95" s="21">
        <f t="shared" ref="G95:G97" si="29">LOG10(D95*100*E95/F95*1000)</f>
        <v>4.5003129173815992</v>
      </c>
      <c r="H95" s="22"/>
    </row>
    <row r="96" spans="1:8" x14ac:dyDescent="0.2">
      <c r="A96" s="15" t="s">
        <v>19</v>
      </c>
      <c r="B96" s="16">
        <v>7</v>
      </c>
      <c r="C96" s="16">
        <v>4</v>
      </c>
      <c r="D96" s="16">
        <f t="shared" si="28"/>
        <v>5.5</v>
      </c>
      <c r="E96" s="15">
        <v>10</v>
      </c>
      <c r="F96" s="15">
        <f>1785.8-1762.9</f>
        <v>22.899999999999864</v>
      </c>
      <c r="G96" s="21">
        <f t="shared" si="29"/>
        <v>5.3805272071543584</v>
      </c>
      <c r="H96" s="22"/>
    </row>
    <row r="97" spans="1:8" ht="17" x14ac:dyDescent="0.2">
      <c r="A97" s="26" t="s">
        <v>18</v>
      </c>
      <c r="B97" s="17">
        <v>1</v>
      </c>
      <c r="C97" s="17">
        <v>0</v>
      </c>
      <c r="D97" s="16">
        <f t="shared" si="28"/>
        <v>0.5</v>
      </c>
      <c r="E97" s="26">
        <v>1</v>
      </c>
      <c r="F97" s="26">
        <f>1826.7-1797.4</f>
        <v>29.299999999999955</v>
      </c>
      <c r="G97" s="21">
        <f t="shared" si="29"/>
        <v>3.2321023839819101</v>
      </c>
      <c r="H97" s="20"/>
    </row>
    <row r="98" spans="1:8" x14ac:dyDescent="0.2">
      <c r="A98" s="15"/>
      <c r="B98" s="16"/>
      <c r="C98" s="16"/>
      <c r="D98" s="16"/>
      <c r="E98" s="15"/>
      <c r="F98" s="4"/>
      <c r="G98" s="21"/>
      <c r="H98" s="22"/>
    </row>
    <row r="99" spans="1:8" ht="51" x14ac:dyDescent="0.2">
      <c r="A99" s="2" t="s">
        <v>54</v>
      </c>
      <c r="B99" s="63" t="s">
        <v>0</v>
      </c>
      <c r="C99" s="63"/>
      <c r="D99" s="31" t="s">
        <v>1</v>
      </c>
      <c r="E99" s="31" t="s">
        <v>4</v>
      </c>
      <c r="F99" s="31" t="s">
        <v>2</v>
      </c>
      <c r="G99" s="20" t="s">
        <v>3</v>
      </c>
      <c r="H99" s="22"/>
    </row>
    <row r="100" spans="1:8" x14ac:dyDescent="0.2">
      <c r="A100" s="15" t="s">
        <v>16</v>
      </c>
      <c r="B100">
        <v>84</v>
      </c>
      <c r="C100">
        <v>74</v>
      </c>
      <c r="D100">
        <f>AVERAGE(B100:C100)</f>
        <v>79</v>
      </c>
      <c r="E100" s="4">
        <v>1000</v>
      </c>
      <c r="F100" s="4">
        <f>1867-1831.4</f>
        <v>35.599999999999909</v>
      </c>
      <c r="G100" s="21">
        <f>LOG10(D100*100*E100/F100*1000)</f>
        <v>8.3461770933175679</v>
      </c>
      <c r="H100" s="22"/>
    </row>
    <row r="101" spans="1:8" x14ac:dyDescent="0.2">
      <c r="A101" s="15" t="s">
        <v>17</v>
      </c>
      <c r="B101" s="16">
        <v>65</v>
      </c>
      <c r="C101" s="16">
        <v>67</v>
      </c>
      <c r="D101" s="16">
        <f t="shared" ref="D101:D104" si="30">AVERAGE(B101:C101)</f>
        <v>66</v>
      </c>
      <c r="E101" s="15">
        <v>1000</v>
      </c>
      <c r="F101" s="15">
        <f>1848.2-1824.8</f>
        <v>23.400000000000091</v>
      </c>
      <c r="G101" s="21">
        <f>LOG10(D101*100*E101/F101*1000)</f>
        <v>8.450328078131724</v>
      </c>
      <c r="H101" s="22"/>
    </row>
    <row r="102" spans="1:8" x14ac:dyDescent="0.2">
      <c r="A102" s="15" t="s">
        <v>14</v>
      </c>
      <c r="B102" s="16">
        <v>59</v>
      </c>
      <c r="C102" s="16">
        <v>54</v>
      </c>
      <c r="D102" s="16">
        <f t="shared" si="30"/>
        <v>56.5</v>
      </c>
      <c r="E102" s="15">
        <v>100</v>
      </c>
      <c r="F102" s="15">
        <f>1913.6-1888</f>
        <v>25.599999999999909</v>
      </c>
      <c r="G102" s="21">
        <f t="shared" ref="G102:G104" si="31">LOG10(D102*100*E102/F102*1000)</f>
        <v>7.3438084825075904</v>
      </c>
      <c r="H102" s="22"/>
    </row>
    <row r="103" spans="1:8" x14ac:dyDescent="0.2">
      <c r="A103" s="15" t="s">
        <v>19</v>
      </c>
      <c r="B103" s="16">
        <v>22</v>
      </c>
      <c r="C103" s="16">
        <v>21</v>
      </c>
      <c r="D103" s="16">
        <f>AVERAGE(B103:C103)</f>
        <v>21.5</v>
      </c>
      <c r="E103" s="15">
        <v>100</v>
      </c>
      <c r="F103" s="15">
        <f>1976.9-1895</f>
        <v>81.900000000000091</v>
      </c>
      <c r="G103" s="21">
        <f t="shared" si="31"/>
        <v>6.4191545581551859</v>
      </c>
      <c r="H103" s="22"/>
    </row>
    <row r="104" spans="1:8" ht="17" x14ac:dyDescent="0.2">
      <c r="A104" s="26" t="s">
        <v>18</v>
      </c>
      <c r="B104" s="17">
        <v>15</v>
      </c>
      <c r="C104" s="17">
        <v>20</v>
      </c>
      <c r="D104" s="16">
        <f t="shared" si="30"/>
        <v>17.5</v>
      </c>
      <c r="E104" s="26">
        <v>100</v>
      </c>
      <c r="F104" s="26">
        <f>1872.5-1823.2</f>
        <v>49.299999999999955</v>
      </c>
      <c r="G104" s="21">
        <f t="shared" si="31"/>
        <v>6.5501911294090647</v>
      </c>
      <c r="H104" s="22"/>
    </row>
    <row r="105" spans="1:8" x14ac:dyDescent="0.2">
      <c r="A105" s="28"/>
      <c r="B105" s="63"/>
      <c r="C105" s="63"/>
      <c r="D105" s="31"/>
      <c r="E105" s="31"/>
      <c r="F105" s="31"/>
      <c r="G105" s="20"/>
      <c r="H105" s="22"/>
    </row>
    <row r="106" spans="1:8" ht="51" x14ac:dyDescent="0.2">
      <c r="A106" s="2" t="s">
        <v>55</v>
      </c>
      <c r="B106" s="63" t="s">
        <v>0</v>
      </c>
      <c r="C106" s="63"/>
      <c r="D106" s="31" t="s">
        <v>1</v>
      </c>
      <c r="E106" s="31" t="s">
        <v>4</v>
      </c>
      <c r="F106" s="31" t="s">
        <v>2</v>
      </c>
      <c r="G106" s="20" t="s">
        <v>3</v>
      </c>
      <c r="H106" s="22"/>
    </row>
    <row r="107" spans="1:8" x14ac:dyDescent="0.2">
      <c r="A107" s="15" t="s">
        <v>16</v>
      </c>
      <c r="B107">
        <v>0</v>
      </c>
      <c r="C107">
        <v>0</v>
      </c>
      <c r="D107">
        <f>AVERAGE(B107:C107)</f>
        <v>0</v>
      </c>
      <c r="E107" s="4">
        <v>1</v>
      </c>
      <c r="F107" s="4">
        <f>1879.9-1863.2</f>
        <v>16.700000000000045</v>
      </c>
      <c r="G107" s="21" t="e">
        <f>LOG10(D107*100*E107/F107*1000)</f>
        <v>#NUM!</v>
      </c>
      <c r="H107" s="22"/>
    </row>
    <row r="108" spans="1:8" x14ac:dyDescent="0.2">
      <c r="A108" s="15" t="s">
        <v>17</v>
      </c>
      <c r="B108" s="16">
        <v>0</v>
      </c>
      <c r="C108" s="16">
        <v>0</v>
      </c>
      <c r="D108" s="16">
        <f t="shared" ref="D108:D111" si="32">AVERAGE(B108:C108)</f>
        <v>0</v>
      </c>
      <c r="E108" s="15">
        <v>1</v>
      </c>
      <c r="F108" s="15">
        <f>2004.5-1897.8</f>
        <v>106.70000000000005</v>
      </c>
      <c r="G108" s="21" t="e">
        <f>LOG10(D108*100*E108/F108*1000)</f>
        <v>#NUM!</v>
      </c>
      <c r="H108" s="22"/>
    </row>
    <row r="109" spans="1:8" x14ac:dyDescent="0.2">
      <c r="A109" s="15" t="s">
        <v>14</v>
      </c>
      <c r="B109" s="16">
        <v>3</v>
      </c>
      <c r="C109" s="16">
        <v>3</v>
      </c>
      <c r="D109" s="16">
        <f t="shared" si="32"/>
        <v>3</v>
      </c>
      <c r="E109" s="15">
        <v>1</v>
      </c>
      <c r="F109" s="15">
        <f>1829.6-1800.8</f>
        <v>28.799999999999955</v>
      </c>
      <c r="G109" s="21">
        <f t="shared" ref="G109:G111" si="33">LOG10(D109*100*E109/F109*1000)</f>
        <v>4.017728766960432</v>
      </c>
      <c r="H109" s="22"/>
    </row>
    <row r="110" spans="1:8" x14ac:dyDescent="0.2">
      <c r="A110" s="15" t="s">
        <v>19</v>
      </c>
      <c r="B110" s="16">
        <v>10</v>
      </c>
      <c r="C110" s="16">
        <v>8</v>
      </c>
      <c r="D110" s="16">
        <f t="shared" si="32"/>
        <v>9</v>
      </c>
      <c r="E110" s="15">
        <v>1</v>
      </c>
      <c r="F110" s="15">
        <f>1816.2-1757.5</f>
        <v>58.700000000000045</v>
      </c>
      <c r="G110" s="21">
        <f t="shared" si="33"/>
        <v>4.1856044081917103</v>
      </c>
      <c r="H110" s="22"/>
    </row>
    <row r="111" spans="1:8" ht="17" x14ac:dyDescent="0.2">
      <c r="A111" s="26" t="s">
        <v>18</v>
      </c>
      <c r="B111" s="17">
        <v>30</v>
      </c>
      <c r="C111" s="17">
        <v>37</v>
      </c>
      <c r="D111" s="16">
        <f t="shared" si="32"/>
        <v>33.5</v>
      </c>
      <c r="E111" s="26">
        <v>1</v>
      </c>
      <c r="F111" s="26">
        <f>1821.6-1752</f>
        <v>69.599999999999909</v>
      </c>
      <c r="G111" s="21">
        <f t="shared" si="33"/>
        <v>4.6824355674262836</v>
      </c>
      <c r="H111" s="22"/>
    </row>
    <row r="112" spans="1:8" x14ac:dyDescent="0.2">
      <c r="A112" s="15"/>
      <c r="B112" s="30"/>
      <c r="C112" s="30"/>
      <c r="D112" s="16"/>
      <c r="E112" s="4"/>
      <c r="F112" s="4"/>
      <c r="G112" s="22"/>
      <c r="H112" s="22"/>
    </row>
    <row r="113" spans="1:8" ht="51" x14ac:dyDescent="0.2">
      <c r="A113" s="2" t="s">
        <v>60</v>
      </c>
      <c r="B113" s="63" t="s">
        <v>0</v>
      </c>
      <c r="C113" s="63"/>
      <c r="D113" s="43" t="s">
        <v>1</v>
      </c>
      <c r="E113" s="43" t="s">
        <v>4</v>
      </c>
      <c r="F113" s="43" t="s">
        <v>2</v>
      </c>
      <c r="G113" s="20" t="s">
        <v>3</v>
      </c>
      <c r="H113" s="22"/>
    </row>
    <row r="114" spans="1:8" x14ac:dyDescent="0.2">
      <c r="A114" s="15" t="s">
        <v>16</v>
      </c>
      <c r="B114">
        <v>29</v>
      </c>
      <c r="C114">
        <v>27</v>
      </c>
      <c r="D114">
        <f>AVERAGE(B114:C114)</f>
        <v>28</v>
      </c>
      <c r="E114" s="4">
        <v>1000</v>
      </c>
      <c r="F114" s="4">
        <f>1856.5-1843</f>
        <v>13.5</v>
      </c>
      <c r="G114" s="21">
        <f>LOG10(D114*100*E114/F114*1000)</f>
        <v>8.3168242628472129</v>
      </c>
      <c r="H114" s="22"/>
    </row>
    <row r="115" spans="1:8" x14ac:dyDescent="0.2">
      <c r="A115" s="15" t="s">
        <v>17</v>
      </c>
      <c r="B115" s="16">
        <v>56</v>
      </c>
      <c r="C115" s="16">
        <v>33</v>
      </c>
      <c r="D115" s="16">
        <f t="shared" ref="D115:D119" si="34">AVERAGE(B115:C115)</f>
        <v>44.5</v>
      </c>
      <c r="E115" s="15">
        <v>100</v>
      </c>
      <c r="F115" s="15">
        <f>1988.5-1921.2</f>
        <v>67.299999999999955</v>
      </c>
      <c r="G115" s="21">
        <f>LOG10(D115*100*E115/F115*1000)</f>
        <v>6.820344946756955</v>
      </c>
      <c r="H115" s="22"/>
    </row>
    <row r="116" spans="1:8" x14ac:dyDescent="0.2">
      <c r="A116" s="15" t="s">
        <v>14</v>
      </c>
      <c r="B116" s="16">
        <v>38</v>
      </c>
      <c r="C116" s="16">
        <v>41</v>
      </c>
      <c r="D116" s="16">
        <f t="shared" si="34"/>
        <v>39.5</v>
      </c>
      <c r="E116" s="15">
        <v>100</v>
      </c>
      <c r="F116" s="15">
        <f>1969.8-1846.3</f>
        <v>123.5</v>
      </c>
      <c r="G116" s="21">
        <f>LOG10(D116*100*E116/F116*1000)</f>
        <v>6.504930138030776</v>
      </c>
      <c r="H116" s="22"/>
    </row>
    <row r="117" spans="1:8" x14ac:dyDescent="0.2">
      <c r="A117" s="15" t="s">
        <v>19</v>
      </c>
      <c r="B117" s="16">
        <v>0</v>
      </c>
      <c r="C117" s="16">
        <v>0</v>
      </c>
      <c r="D117" s="16">
        <f t="shared" si="34"/>
        <v>0</v>
      </c>
      <c r="E117" s="15">
        <v>1</v>
      </c>
      <c r="F117" s="15">
        <f>1764.2-1727.7</f>
        <v>36.5</v>
      </c>
      <c r="G117" s="21" t="e">
        <f t="shared" ref="G117:G119" si="35">LOG10(D117*100*E117/F117*1000)</f>
        <v>#NUM!</v>
      </c>
      <c r="H117" s="22"/>
    </row>
    <row r="118" spans="1:8" ht="17" x14ac:dyDescent="0.2">
      <c r="A118" s="26" t="s">
        <v>18</v>
      </c>
      <c r="B118" s="17">
        <v>0</v>
      </c>
      <c r="C118" s="17">
        <v>0</v>
      </c>
      <c r="D118" s="16">
        <f t="shared" si="34"/>
        <v>0</v>
      </c>
      <c r="E118" s="26">
        <v>1</v>
      </c>
      <c r="F118" s="26">
        <f>1790.9-1762.4</f>
        <v>28.5</v>
      </c>
      <c r="G118" s="21" t="e">
        <f t="shared" si="35"/>
        <v>#NUM!</v>
      </c>
      <c r="H118" s="22"/>
    </row>
    <row r="119" spans="1:8" x14ac:dyDescent="0.2">
      <c r="A119" s="15"/>
      <c r="B119" s="16"/>
      <c r="C119" s="16"/>
      <c r="D119" s="16"/>
      <c r="E119" s="15"/>
      <c r="F119" s="15"/>
      <c r="G119" s="21"/>
      <c r="H119" s="22"/>
    </row>
    <row r="120" spans="1:8" ht="51" x14ac:dyDescent="0.2">
      <c r="A120" s="2" t="s">
        <v>61</v>
      </c>
      <c r="B120" s="63" t="s">
        <v>0</v>
      </c>
      <c r="C120" s="63"/>
      <c r="D120" s="43" t="s">
        <v>1</v>
      </c>
      <c r="E120" s="43" t="s">
        <v>4</v>
      </c>
      <c r="F120" s="43" t="s">
        <v>2</v>
      </c>
      <c r="G120" s="20" t="s">
        <v>3</v>
      </c>
      <c r="H120" s="22"/>
    </row>
    <row r="121" spans="1:8" x14ac:dyDescent="0.2">
      <c r="A121" s="15" t="s">
        <v>16</v>
      </c>
      <c r="B121">
        <v>0</v>
      </c>
      <c r="C121">
        <v>0</v>
      </c>
      <c r="D121">
        <f>AVERAGE(B121:C121)</f>
        <v>0</v>
      </c>
      <c r="E121" s="4">
        <v>1</v>
      </c>
      <c r="F121" s="4">
        <f>1798.3-1772</f>
        <v>26.299999999999955</v>
      </c>
      <c r="G121" s="21" t="e">
        <f>LOG10(D121*100*E121/F121*1000)</f>
        <v>#NUM!</v>
      </c>
      <c r="H121" s="22"/>
    </row>
    <row r="122" spans="1:8" x14ac:dyDescent="0.2">
      <c r="A122" s="15" t="s">
        <v>17</v>
      </c>
      <c r="B122" s="16">
        <v>0</v>
      </c>
      <c r="C122" s="16">
        <v>0</v>
      </c>
      <c r="D122" s="16">
        <f t="shared" ref="D122:D125" si="36">AVERAGE(B122:C122)</f>
        <v>0</v>
      </c>
      <c r="E122" s="15">
        <v>1</v>
      </c>
      <c r="F122" s="15">
        <f>1775.1-1726.1</f>
        <v>49</v>
      </c>
      <c r="G122" s="21" t="e">
        <f>LOG10(D122*100*E122/F122*1000)</f>
        <v>#NUM!</v>
      </c>
      <c r="H122" s="22"/>
    </row>
    <row r="123" spans="1:8" x14ac:dyDescent="0.2">
      <c r="A123" s="15" t="s">
        <v>14</v>
      </c>
      <c r="B123" s="16">
        <v>0</v>
      </c>
      <c r="C123" s="16">
        <v>0</v>
      </c>
      <c r="D123" s="16">
        <f t="shared" si="36"/>
        <v>0</v>
      </c>
      <c r="E123" s="15">
        <v>1</v>
      </c>
      <c r="F123" s="15">
        <f>1932.2-1832.4</f>
        <v>99.799999999999955</v>
      </c>
      <c r="G123" s="21" t="e">
        <f t="shared" ref="G123:G125" si="37">LOG10(D123*100*E123/F123*1000)</f>
        <v>#NUM!</v>
      </c>
      <c r="H123" s="22"/>
    </row>
    <row r="124" spans="1:8" x14ac:dyDescent="0.2">
      <c r="A124" s="15" t="s">
        <v>19</v>
      </c>
      <c r="B124" s="16">
        <v>0</v>
      </c>
      <c r="C124" s="16">
        <v>0</v>
      </c>
      <c r="D124" s="16">
        <f t="shared" si="36"/>
        <v>0</v>
      </c>
      <c r="E124" s="15">
        <v>1</v>
      </c>
      <c r="F124" s="15">
        <f>1850.2-1799.4</f>
        <v>50.799999999999955</v>
      </c>
      <c r="G124" s="21" t="e">
        <f t="shared" si="37"/>
        <v>#NUM!</v>
      </c>
      <c r="H124" s="22"/>
    </row>
    <row r="125" spans="1:8" ht="17" x14ac:dyDescent="0.2">
      <c r="A125" s="26" t="s">
        <v>18</v>
      </c>
      <c r="B125" s="17">
        <v>0</v>
      </c>
      <c r="C125" s="17">
        <v>0</v>
      </c>
      <c r="D125" s="16">
        <f t="shared" si="36"/>
        <v>0</v>
      </c>
      <c r="E125" s="26">
        <v>1</v>
      </c>
      <c r="F125" s="26">
        <f>1999.8-1953.3</f>
        <v>46.5</v>
      </c>
      <c r="G125" s="21" t="e">
        <f t="shared" si="37"/>
        <v>#NUM!</v>
      </c>
      <c r="H125" s="22"/>
    </row>
    <row r="126" spans="1:8" x14ac:dyDescent="0.2">
      <c r="A126" s="15"/>
      <c r="B126" s="16"/>
      <c r="C126" s="16"/>
      <c r="D126" s="16"/>
      <c r="E126" s="15"/>
      <c r="F126" s="4"/>
      <c r="G126" s="21"/>
      <c r="H126" s="22"/>
    </row>
    <row r="127" spans="1:8" ht="51" x14ac:dyDescent="0.2">
      <c r="A127" s="2" t="s">
        <v>62</v>
      </c>
      <c r="B127" s="63" t="s">
        <v>0</v>
      </c>
      <c r="C127" s="63"/>
      <c r="D127" s="43" t="s">
        <v>1</v>
      </c>
      <c r="E127" s="43" t="s">
        <v>4</v>
      </c>
      <c r="F127" s="43" t="s">
        <v>2</v>
      </c>
      <c r="G127" s="20" t="s">
        <v>3</v>
      </c>
      <c r="H127" s="22"/>
    </row>
    <row r="128" spans="1:8" x14ac:dyDescent="0.2">
      <c r="A128" s="15" t="s">
        <v>16</v>
      </c>
      <c r="B128">
        <v>0</v>
      </c>
      <c r="C128">
        <v>0</v>
      </c>
      <c r="D128">
        <f>AVERAGE(B128:C128)</f>
        <v>0</v>
      </c>
      <c r="E128" s="4">
        <v>1</v>
      </c>
      <c r="F128" s="4">
        <f>1792.6-1765.5</f>
        <v>27.099999999999909</v>
      </c>
      <c r="G128" s="21" t="e">
        <f>LOG10(D128*100*E128/F128*1000)</f>
        <v>#NUM!</v>
      </c>
      <c r="H128" s="22"/>
    </row>
    <row r="129" spans="1:8" x14ac:dyDescent="0.2">
      <c r="A129" s="15" t="s">
        <v>17</v>
      </c>
      <c r="B129" s="16">
        <v>0</v>
      </c>
      <c r="C129" s="16">
        <v>0</v>
      </c>
      <c r="D129" s="16">
        <f t="shared" ref="D129:D132" si="38">AVERAGE(B129:C129)</f>
        <v>0</v>
      </c>
      <c r="E129" s="15">
        <v>1</v>
      </c>
      <c r="F129" s="15">
        <f>1912.9-1898.7</f>
        <v>14.200000000000045</v>
      </c>
      <c r="G129" s="21" t="e">
        <f>LOG10(D129*100*E129/F129*1000)</f>
        <v>#NUM!</v>
      </c>
      <c r="H129" s="22"/>
    </row>
    <row r="130" spans="1:8" ht="18" customHeight="1" x14ac:dyDescent="0.2">
      <c r="A130" s="15" t="s">
        <v>14</v>
      </c>
      <c r="B130" s="16">
        <v>0</v>
      </c>
      <c r="C130" s="16">
        <v>0</v>
      </c>
      <c r="D130" s="16">
        <f t="shared" si="38"/>
        <v>0</v>
      </c>
      <c r="E130" s="15">
        <v>1</v>
      </c>
      <c r="F130" s="15">
        <f>1925.6-1893.5</f>
        <v>32.099999999999909</v>
      </c>
      <c r="G130" s="21" t="e">
        <f t="shared" ref="G130:G132" si="39">LOG10(D130*100*E130/F130*1000)</f>
        <v>#NUM!</v>
      </c>
      <c r="H130" s="20"/>
    </row>
    <row r="131" spans="1:8" x14ac:dyDescent="0.2">
      <c r="A131" s="15" t="s">
        <v>19</v>
      </c>
      <c r="B131" s="16">
        <v>0</v>
      </c>
      <c r="C131" s="16">
        <v>0</v>
      </c>
      <c r="D131" s="16">
        <f t="shared" si="38"/>
        <v>0</v>
      </c>
      <c r="E131" s="15">
        <v>1</v>
      </c>
      <c r="F131" s="15">
        <f>1868.6-1761.1</f>
        <v>107.5</v>
      </c>
      <c r="G131" s="21" t="e">
        <f t="shared" si="39"/>
        <v>#NUM!</v>
      </c>
      <c r="H131" s="22"/>
    </row>
    <row r="132" spans="1:8" ht="17" x14ac:dyDescent="0.2">
      <c r="A132" s="26" t="s">
        <v>18</v>
      </c>
      <c r="B132" s="17">
        <v>0</v>
      </c>
      <c r="C132" s="17">
        <v>0</v>
      </c>
      <c r="D132" s="16">
        <f t="shared" si="38"/>
        <v>0</v>
      </c>
      <c r="E132" s="26">
        <v>1</v>
      </c>
      <c r="F132" s="26">
        <f>1847.3-1828.6</f>
        <v>18.700000000000045</v>
      </c>
      <c r="G132" s="21" t="e">
        <f t="shared" si="39"/>
        <v>#NUM!</v>
      </c>
      <c r="H132" s="22"/>
    </row>
    <row r="133" spans="1:8" x14ac:dyDescent="0.2">
      <c r="A133" s="15"/>
      <c r="B133" s="16"/>
      <c r="C133" s="16"/>
      <c r="D133" s="16"/>
      <c r="E133" s="15"/>
      <c r="F133" s="15"/>
      <c r="G133" s="21"/>
      <c r="H133" s="22"/>
    </row>
    <row r="134" spans="1:8" ht="51" x14ac:dyDescent="0.2">
      <c r="A134" s="2" t="s">
        <v>63</v>
      </c>
      <c r="B134" s="63" t="s">
        <v>0</v>
      </c>
      <c r="C134" s="63"/>
      <c r="D134" s="49" t="s">
        <v>1</v>
      </c>
      <c r="E134" s="49" t="s">
        <v>4</v>
      </c>
      <c r="F134" s="49" t="s">
        <v>2</v>
      </c>
      <c r="G134" s="20" t="s">
        <v>3</v>
      </c>
      <c r="H134" s="22"/>
    </row>
    <row r="135" spans="1:8" x14ac:dyDescent="0.2">
      <c r="A135" s="15" t="s">
        <v>16</v>
      </c>
      <c r="B135">
        <v>0</v>
      </c>
      <c r="C135">
        <v>0</v>
      </c>
      <c r="D135">
        <f>AVERAGE(B135:C135)</f>
        <v>0</v>
      </c>
      <c r="E135" s="4">
        <v>1</v>
      </c>
      <c r="F135" s="4">
        <f>1931.9-1906</f>
        <v>25.900000000000091</v>
      </c>
      <c r="G135" s="21" t="e">
        <f>LOG10(D135*100*E135/F135*1000)</f>
        <v>#NUM!</v>
      </c>
      <c r="H135" s="22"/>
    </row>
    <row r="136" spans="1:8" x14ac:dyDescent="0.2">
      <c r="A136" s="15" t="s">
        <v>17</v>
      </c>
      <c r="B136" s="16">
        <v>0</v>
      </c>
      <c r="C136" s="16">
        <v>0</v>
      </c>
      <c r="D136" s="16">
        <f t="shared" ref="D136:D139" si="40">AVERAGE(B136:C136)</f>
        <v>0</v>
      </c>
      <c r="E136" s="15">
        <v>1</v>
      </c>
      <c r="F136" s="15">
        <f>1925.5-1906.3</f>
        <v>19.200000000000045</v>
      </c>
      <c r="G136" s="21" t="e">
        <f>LOG10(D136*100*E136/F136*1000)</f>
        <v>#NUM!</v>
      </c>
      <c r="H136" s="22"/>
    </row>
    <row r="137" spans="1:8" x14ac:dyDescent="0.2">
      <c r="A137" s="15" t="s">
        <v>14</v>
      </c>
      <c r="B137" s="16">
        <v>0</v>
      </c>
      <c r="C137" s="16">
        <v>0</v>
      </c>
      <c r="D137" s="16">
        <f t="shared" si="40"/>
        <v>0</v>
      </c>
      <c r="E137" s="15">
        <v>1</v>
      </c>
      <c r="F137" s="15">
        <f>1993-1847.9</f>
        <v>145.09999999999991</v>
      </c>
      <c r="G137" s="21" t="e">
        <f t="shared" ref="G137:G139" si="41">LOG10(D137*100*E137/F137*1000)</f>
        <v>#NUM!</v>
      </c>
      <c r="H137" s="22"/>
    </row>
    <row r="138" spans="1:8" x14ac:dyDescent="0.2">
      <c r="A138" s="15" t="s">
        <v>19</v>
      </c>
      <c r="B138" s="16">
        <v>0</v>
      </c>
      <c r="C138" s="16">
        <v>0</v>
      </c>
      <c r="D138" s="16">
        <f t="shared" si="40"/>
        <v>0</v>
      </c>
      <c r="E138" s="15">
        <v>1</v>
      </c>
      <c r="F138" s="15">
        <f>1823.8-1756</f>
        <v>67.799999999999955</v>
      </c>
      <c r="G138" s="21" t="e">
        <f t="shared" si="41"/>
        <v>#NUM!</v>
      </c>
      <c r="H138" s="22"/>
    </row>
    <row r="139" spans="1:8" ht="17" x14ac:dyDescent="0.2">
      <c r="A139" s="26" t="s">
        <v>18</v>
      </c>
      <c r="B139" s="17">
        <v>0</v>
      </c>
      <c r="C139" s="17">
        <v>0</v>
      </c>
      <c r="D139" s="16">
        <f t="shared" si="40"/>
        <v>0</v>
      </c>
      <c r="E139" s="26">
        <v>1</v>
      </c>
      <c r="F139" s="26">
        <f>1831-1812.6</f>
        <v>18.400000000000091</v>
      </c>
      <c r="G139" s="21" t="e">
        <f t="shared" si="41"/>
        <v>#NUM!</v>
      </c>
      <c r="H139" s="22"/>
    </row>
    <row r="140" spans="1:8" x14ac:dyDescent="0.2">
      <c r="A140" s="29"/>
      <c r="B140" s="30"/>
      <c r="C140" s="30"/>
      <c r="D140" s="16"/>
      <c r="E140" s="29"/>
      <c r="F140" s="29"/>
      <c r="G140" s="21"/>
      <c r="H140" s="22"/>
    </row>
    <row r="141" spans="1:8" ht="51" x14ac:dyDescent="0.2">
      <c r="A141" s="2" t="s">
        <v>56</v>
      </c>
      <c r="B141" s="63" t="s">
        <v>0</v>
      </c>
      <c r="C141" s="63"/>
      <c r="D141" s="49" t="s">
        <v>1</v>
      </c>
      <c r="E141" s="49" t="s">
        <v>4</v>
      </c>
      <c r="F141" s="49" t="s">
        <v>2</v>
      </c>
      <c r="G141" s="20" t="s">
        <v>3</v>
      </c>
      <c r="H141" s="22"/>
    </row>
    <row r="142" spans="1:8" x14ac:dyDescent="0.2">
      <c r="A142" s="15" t="s">
        <v>16</v>
      </c>
      <c r="B142">
        <v>0</v>
      </c>
      <c r="C142">
        <v>3</v>
      </c>
      <c r="D142">
        <f>AVERAGE(B142:C142)</f>
        <v>1.5</v>
      </c>
      <c r="E142" s="4">
        <v>1</v>
      </c>
      <c r="F142" s="4">
        <f>1924.5-1907.9</f>
        <v>16.599999999999909</v>
      </c>
      <c r="G142" s="21">
        <f>LOG10(D142*100*E142/F142*1000)</f>
        <v>3.9559831710156286</v>
      </c>
      <c r="H142" s="22"/>
    </row>
    <row r="143" spans="1:8" x14ac:dyDescent="0.2">
      <c r="A143" s="15" t="s">
        <v>17</v>
      </c>
      <c r="B143" s="16">
        <v>65</v>
      </c>
      <c r="C143" s="16">
        <v>46</v>
      </c>
      <c r="D143" s="16">
        <f t="shared" ref="D143:D146" si="42">AVERAGE(B143:C143)</f>
        <v>55.5</v>
      </c>
      <c r="E143" s="15">
        <v>100</v>
      </c>
      <c r="F143" s="15">
        <f>1903.2-1865.3</f>
        <v>37.900000000000091</v>
      </c>
      <c r="G143" s="21">
        <f>LOG10(D143*100*E143/F143*1000)</f>
        <v>7.1656537731546033</v>
      </c>
      <c r="H143" s="22"/>
    </row>
    <row r="144" spans="1:8" x14ac:dyDescent="0.2">
      <c r="A144" s="15" t="s">
        <v>14</v>
      </c>
      <c r="B144" s="16">
        <v>40</v>
      </c>
      <c r="C144" s="16">
        <v>37</v>
      </c>
      <c r="D144" s="16">
        <f t="shared" si="42"/>
        <v>38.5</v>
      </c>
      <c r="E144" s="15">
        <v>100</v>
      </c>
      <c r="F144" s="15">
        <f>1954.4-1927.9</f>
        <v>26.5</v>
      </c>
      <c r="G144" s="21">
        <f>LOG10(D144*100*E144/F144*1000)</f>
        <v>7.1622148555716931</v>
      </c>
      <c r="H144" s="22"/>
    </row>
    <row r="145" spans="1:8" x14ac:dyDescent="0.2">
      <c r="A145" s="15" t="s">
        <v>19</v>
      </c>
      <c r="B145" s="16">
        <v>5</v>
      </c>
      <c r="C145" s="16">
        <v>2</v>
      </c>
      <c r="D145" s="16">
        <f t="shared" si="42"/>
        <v>3.5</v>
      </c>
      <c r="E145" s="15">
        <v>1</v>
      </c>
      <c r="F145" s="15">
        <f>1955.9-1881</f>
        <v>74.900000000000091</v>
      </c>
      <c r="G145" s="21">
        <f t="shared" ref="G145:G146" si="43">LOG10(D145*100*E145/F145*1000)</f>
        <v>3.6695862266508086</v>
      </c>
      <c r="H145" s="22"/>
    </row>
    <row r="146" spans="1:8" ht="17" x14ac:dyDescent="0.2">
      <c r="A146" s="26" t="s">
        <v>18</v>
      </c>
      <c r="B146" s="17">
        <v>1</v>
      </c>
      <c r="C146" s="17">
        <v>0</v>
      </c>
      <c r="D146" s="16">
        <f t="shared" si="42"/>
        <v>0.5</v>
      </c>
      <c r="E146" s="26">
        <v>1</v>
      </c>
      <c r="F146" s="26">
        <f>1887.1-1792</f>
        <v>95.099999999999909</v>
      </c>
      <c r="G146" s="21">
        <f t="shared" si="43"/>
        <v>2.7207894873986054</v>
      </c>
      <c r="H146" s="22"/>
    </row>
    <row r="147" spans="1:8" x14ac:dyDescent="0.2">
      <c r="A147" s="15"/>
      <c r="B147" s="16"/>
      <c r="C147" s="16"/>
      <c r="D147" s="16"/>
      <c r="E147" s="15"/>
      <c r="F147" s="15"/>
      <c r="G147" s="21"/>
      <c r="H147" s="22"/>
    </row>
    <row r="148" spans="1:8" ht="51" x14ac:dyDescent="0.2">
      <c r="A148" s="2" t="s">
        <v>57</v>
      </c>
      <c r="B148" s="63" t="s">
        <v>0</v>
      </c>
      <c r="C148" s="63"/>
      <c r="D148" s="49" t="s">
        <v>1</v>
      </c>
      <c r="E148" s="49" t="s">
        <v>4</v>
      </c>
      <c r="F148" s="49" t="s">
        <v>2</v>
      </c>
      <c r="G148" s="20" t="s">
        <v>3</v>
      </c>
      <c r="H148" s="22"/>
    </row>
    <row r="149" spans="1:8" x14ac:dyDescent="0.2">
      <c r="A149" s="15" t="s">
        <v>16</v>
      </c>
      <c r="B149">
        <v>38</v>
      </c>
      <c r="C149">
        <v>45</v>
      </c>
      <c r="D149">
        <f>AVERAGE(B149:C149)</f>
        <v>41.5</v>
      </c>
      <c r="E149" s="4">
        <v>1000</v>
      </c>
      <c r="F149" s="4">
        <f>1839.6-1818.7</f>
        <v>20.899999999999864</v>
      </c>
      <c r="G149" s="21">
        <f>LOG10(D149*100*E149/F149*1000)</f>
        <v>8.2979018106010418</v>
      </c>
      <c r="H149" s="22"/>
    </row>
    <row r="150" spans="1:8" x14ac:dyDescent="0.2">
      <c r="A150" s="15" t="s">
        <v>17</v>
      </c>
      <c r="B150" s="16">
        <v>150</v>
      </c>
      <c r="C150" s="16">
        <v>150</v>
      </c>
      <c r="D150" s="16">
        <f t="shared" ref="D150:D153" si="44">AVERAGE(B150:C150)</f>
        <v>150</v>
      </c>
      <c r="E150" s="15">
        <v>1000</v>
      </c>
      <c r="F150" s="15">
        <f>1950-1914.2</f>
        <v>35.799999999999955</v>
      </c>
      <c r="G150" s="21">
        <f>LOG10(D150*100*E150/F150*1000)</f>
        <v>8.6222082324118077</v>
      </c>
      <c r="H150" s="22"/>
    </row>
    <row r="151" spans="1:8" x14ac:dyDescent="0.2">
      <c r="A151" s="15" t="s">
        <v>14</v>
      </c>
      <c r="B151" s="16">
        <v>7</v>
      </c>
      <c r="C151" s="16">
        <v>6</v>
      </c>
      <c r="D151" s="16">
        <f t="shared" si="44"/>
        <v>6.5</v>
      </c>
      <c r="E151" s="15">
        <v>1000</v>
      </c>
      <c r="F151" s="15">
        <f>1840.7-1813.4</f>
        <v>27.299999999999955</v>
      </c>
      <c r="G151" s="21">
        <f t="shared" ref="G151:G153" si="45">LOG10(D151*100*E151/F151*1000)</f>
        <v>7.3767507096021001</v>
      </c>
      <c r="H151" s="22"/>
    </row>
    <row r="152" spans="1:8" x14ac:dyDescent="0.2">
      <c r="A152" s="15" t="s">
        <v>19</v>
      </c>
      <c r="B152" s="16">
        <v>8</v>
      </c>
      <c r="C152" s="16">
        <v>11</v>
      </c>
      <c r="D152" s="16">
        <f t="shared" si="44"/>
        <v>9.5</v>
      </c>
      <c r="E152" s="15">
        <v>1</v>
      </c>
      <c r="F152" s="15">
        <f>1888.1-1839.8</f>
        <v>48.299999999999955</v>
      </c>
      <c r="G152" s="21">
        <f t="shared" si="45"/>
        <v>4.2937764745373359</v>
      </c>
      <c r="H152" s="22"/>
    </row>
    <row r="153" spans="1:8" ht="17" x14ac:dyDescent="0.2">
      <c r="A153" s="26" t="s">
        <v>18</v>
      </c>
      <c r="B153" s="17">
        <v>11</v>
      </c>
      <c r="C153" s="17">
        <v>14</v>
      </c>
      <c r="D153" s="16">
        <f t="shared" si="44"/>
        <v>12.5</v>
      </c>
      <c r="E153" s="26">
        <v>1</v>
      </c>
      <c r="F153" s="26">
        <f>1933.1-1866.7</f>
        <v>66.399999999999864</v>
      </c>
      <c r="G153" s="21">
        <f t="shared" si="45"/>
        <v>4.2747419336400396</v>
      </c>
      <c r="H153" s="22"/>
    </row>
    <row r="154" spans="1:8" x14ac:dyDescent="0.2">
      <c r="A154" s="15"/>
      <c r="B154" s="16"/>
      <c r="C154" s="16"/>
      <c r="D154" s="16"/>
      <c r="E154" s="15"/>
      <c r="F154" s="4"/>
      <c r="G154" s="21"/>
      <c r="H154" s="22"/>
    </row>
    <row r="155" spans="1:8" ht="51" x14ac:dyDescent="0.2">
      <c r="A155" s="2" t="s">
        <v>58</v>
      </c>
      <c r="B155" s="63" t="s">
        <v>0</v>
      </c>
      <c r="C155" s="63"/>
      <c r="D155" s="49" t="s">
        <v>1</v>
      </c>
      <c r="E155" s="49" t="s">
        <v>4</v>
      </c>
      <c r="F155" s="49" t="s">
        <v>2</v>
      </c>
      <c r="G155" s="20" t="s">
        <v>3</v>
      </c>
      <c r="H155" s="22"/>
    </row>
    <row r="156" spans="1:8" x14ac:dyDescent="0.2">
      <c r="A156" s="15" t="s">
        <v>16</v>
      </c>
      <c r="B156">
        <v>0</v>
      </c>
      <c r="C156">
        <v>0</v>
      </c>
      <c r="D156">
        <f>AVERAGE(B156:C156)</f>
        <v>0</v>
      </c>
      <c r="E156" s="4">
        <v>1</v>
      </c>
      <c r="F156" s="4">
        <f>1809.1-1786.3</f>
        <v>22.799999999999955</v>
      </c>
      <c r="G156" s="21" t="e">
        <f>LOG10(D156*100*E156/F156*1000)</f>
        <v>#NUM!</v>
      </c>
      <c r="H156" s="22"/>
    </row>
    <row r="157" spans="1:8" x14ac:dyDescent="0.2">
      <c r="A157" s="15" t="s">
        <v>17</v>
      </c>
      <c r="B157" s="16">
        <v>0</v>
      </c>
      <c r="C157" s="16">
        <v>0</v>
      </c>
      <c r="D157" s="16">
        <f t="shared" ref="D157:D160" si="46">AVERAGE(B157:C157)</f>
        <v>0</v>
      </c>
      <c r="E157" s="15">
        <v>1</v>
      </c>
      <c r="F157" s="15">
        <f>1715.6-1693.2</f>
        <v>22.399999999999864</v>
      </c>
      <c r="G157" s="21" t="e">
        <f>LOG10(D157*100*E157/F157*1000)</f>
        <v>#NUM!</v>
      </c>
      <c r="H157" s="22"/>
    </row>
    <row r="158" spans="1:8" x14ac:dyDescent="0.2">
      <c r="A158" s="15" t="s">
        <v>14</v>
      </c>
      <c r="B158" s="16">
        <v>1</v>
      </c>
      <c r="C158" s="16">
        <v>2</v>
      </c>
      <c r="D158" s="16">
        <f t="shared" si="46"/>
        <v>1.5</v>
      </c>
      <c r="E158" s="15">
        <v>1</v>
      </c>
      <c r="F158" s="15">
        <f>1888.5-1809.3</f>
        <v>79.200000000000045</v>
      </c>
      <c r="G158" s="21">
        <f t="shared" ref="G158:G160" si="47">LOG10(D158*100*E158/F158*1000)</f>
        <v>3.2773660774661875</v>
      </c>
      <c r="H158" s="22"/>
    </row>
    <row r="159" spans="1:8" x14ac:dyDescent="0.2">
      <c r="A159" s="15" t="s">
        <v>19</v>
      </c>
      <c r="B159" s="16">
        <v>0</v>
      </c>
      <c r="C159" s="16">
        <v>0</v>
      </c>
      <c r="D159" s="16">
        <f t="shared" si="46"/>
        <v>0</v>
      </c>
      <c r="E159" s="15">
        <v>1</v>
      </c>
      <c r="F159" s="15">
        <f>1924.8-1830.6</f>
        <v>94.200000000000045</v>
      </c>
      <c r="G159" s="21" t="e">
        <f t="shared" si="47"/>
        <v>#NUM!</v>
      </c>
      <c r="H159" s="22"/>
    </row>
    <row r="160" spans="1:8" ht="17" x14ac:dyDescent="0.2">
      <c r="A160" s="26" t="s">
        <v>18</v>
      </c>
      <c r="B160" s="17">
        <v>0</v>
      </c>
      <c r="C160" s="17">
        <v>0</v>
      </c>
      <c r="D160" s="16">
        <f t="shared" si="46"/>
        <v>0</v>
      </c>
      <c r="E160" s="26">
        <v>1</v>
      </c>
      <c r="F160" s="26">
        <f>1883.8-1817.8</f>
        <v>66</v>
      </c>
      <c r="G160" s="21" t="e">
        <f t="shared" si="47"/>
        <v>#NUM!</v>
      </c>
      <c r="H160" s="22"/>
    </row>
    <row r="161" spans="1:8" x14ac:dyDescent="0.2">
      <c r="A161" s="15"/>
      <c r="B161" s="16"/>
      <c r="C161" s="16"/>
      <c r="D161" s="16"/>
      <c r="E161" s="15"/>
      <c r="F161" s="15"/>
      <c r="G161" s="21"/>
      <c r="H161" s="22"/>
    </row>
    <row r="162" spans="1:8" ht="51" x14ac:dyDescent="0.2">
      <c r="A162" s="2" t="s">
        <v>59</v>
      </c>
      <c r="B162" s="63" t="s">
        <v>0</v>
      </c>
      <c r="C162" s="63"/>
      <c r="D162" s="49" t="s">
        <v>1</v>
      </c>
      <c r="E162" s="49" t="s">
        <v>4</v>
      </c>
      <c r="F162" s="49" t="s">
        <v>2</v>
      </c>
      <c r="G162" s="20" t="s">
        <v>3</v>
      </c>
      <c r="H162" s="22"/>
    </row>
    <row r="163" spans="1:8" x14ac:dyDescent="0.2">
      <c r="A163" s="15" t="s">
        <v>16</v>
      </c>
      <c r="B163">
        <v>0</v>
      </c>
      <c r="C163">
        <v>0</v>
      </c>
      <c r="D163">
        <f>AVERAGE(B163:C163)</f>
        <v>0</v>
      </c>
      <c r="E163" s="4">
        <v>1</v>
      </c>
      <c r="F163" s="4">
        <f>1827.4-1797.2</f>
        <v>30.200000000000045</v>
      </c>
      <c r="G163" s="21" t="e">
        <f>LOG10(D163*100*E163/F163*1000)</f>
        <v>#NUM!</v>
      </c>
      <c r="H163" s="20"/>
    </row>
    <row r="164" spans="1:8" x14ac:dyDescent="0.2">
      <c r="A164" s="15" t="s">
        <v>17</v>
      </c>
      <c r="B164" s="16">
        <v>0</v>
      </c>
      <c r="C164" s="16">
        <v>0</v>
      </c>
      <c r="D164" s="16">
        <f t="shared" ref="D164:D167" si="48">AVERAGE(B164:C164)</f>
        <v>0</v>
      </c>
      <c r="E164" s="15">
        <v>1</v>
      </c>
      <c r="F164" s="15">
        <f>1982-1904.4</f>
        <v>77.599999999999909</v>
      </c>
      <c r="G164" s="21" t="e">
        <f>LOG10(D164*100*E164/F164*1000)</f>
        <v>#NUM!</v>
      </c>
      <c r="H164" s="22"/>
    </row>
    <row r="165" spans="1:8" x14ac:dyDescent="0.2">
      <c r="A165" s="15" t="s">
        <v>14</v>
      </c>
      <c r="B165" s="16">
        <v>2</v>
      </c>
      <c r="C165" s="16">
        <v>6</v>
      </c>
      <c r="D165" s="16">
        <f t="shared" si="48"/>
        <v>4</v>
      </c>
      <c r="E165" s="15">
        <v>1</v>
      </c>
      <c r="F165" s="15">
        <f>1877.5-1843.4</f>
        <v>34.099999999999909</v>
      </c>
      <c r="G165" s="21">
        <f t="shared" ref="G165:G167" si="49">LOG10(D165*100*E165/F165*1000)</f>
        <v>4.0693056123354658</v>
      </c>
      <c r="H165" s="22"/>
    </row>
    <row r="166" spans="1:8" x14ac:dyDescent="0.2">
      <c r="A166" s="15" t="s">
        <v>19</v>
      </c>
      <c r="B166" s="16">
        <v>1</v>
      </c>
      <c r="C166" s="16">
        <v>4</v>
      </c>
      <c r="D166" s="16">
        <f t="shared" si="48"/>
        <v>2.5</v>
      </c>
      <c r="E166" s="15">
        <v>1</v>
      </c>
      <c r="F166" s="15">
        <f>1825.5-1784.3</f>
        <v>41.200000000000045</v>
      </c>
      <c r="G166" s="21">
        <f t="shared" si="49"/>
        <v>3.7830427926389025</v>
      </c>
      <c r="H166" s="22"/>
    </row>
    <row r="167" spans="1:8" ht="17" x14ac:dyDescent="0.2">
      <c r="A167" s="26" t="s">
        <v>18</v>
      </c>
      <c r="B167" s="17">
        <v>0</v>
      </c>
      <c r="C167" s="17">
        <v>0</v>
      </c>
      <c r="D167" s="16">
        <f t="shared" si="48"/>
        <v>0</v>
      </c>
      <c r="E167" s="26">
        <v>1</v>
      </c>
      <c r="F167" s="26">
        <f>1771.3-1752.4</f>
        <v>18.899999999999864</v>
      </c>
      <c r="G167" s="21" t="e">
        <f t="shared" si="49"/>
        <v>#NUM!</v>
      </c>
      <c r="H167" s="22"/>
    </row>
    <row r="168" spans="1:8" x14ac:dyDescent="0.2">
      <c r="A168" s="15"/>
      <c r="B168" s="16"/>
      <c r="C168" s="16"/>
      <c r="D168" s="16"/>
      <c r="E168" s="15"/>
      <c r="F168" s="15"/>
      <c r="G168" s="21"/>
      <c r="H168" s="22"/>
    </row>
    <row r="169" spans="1:8" x14ac:dyDescent="0.2">
      <c r="A169" s="2"/>
      <c r="B169" s="46"/>
      <c r="C169" s="46"/>
      <c r="D169" s="46"/>
      <c r="E169" s="46"/>
      <c r="F169" s="46"/>
      <c r="G169" s="20"/>
      <c r="H169" s="22"/>
    </row>
    <row r="170" spans="1:8" x14ac:dyDescent="0.2">
      <c r="A170" s="15"/>
      <c r="E170" s="4"/>
      <c r="F170" s="4"/>
      <c r="G170" s="21"/>
      <c r="H170" s="22"/>
    </row>
    <row r="171" spans="1:8" x14ac:dyDescent="0.2">
      <c r="A171" s="15"/>
      <c r="B171" s="16"/>
      <c r="C171" s="16"/>
      <c r="D171" s="16"/>
      <c r="E171" s="15"/>
      <c r="F171" s="15"/>
      <c r="G171" s="21"/>
      <c r="H171" s="22"/>
    </row>
    <row r="172" spans="1:8" x14ac:dyDescent="0.2">
      <c r="A172" s="15"/>
      <c r="B172" s="16"/>
      <c r="C172" s="16"/>
      <c r="D172" s="16"/>
      <c r="E172" s="15"/>
      <c r="F172" s="15"/>
      <c r="G172" s="21"/>
      <c r="H172" s="22"/>
    </row>
    <row r="173" spans="1:8" x14ac:dyDescent="0.2">
      <c r="A173" s="15"/>
      <c r="B173" s="16"/>
      <c r="C173" s="16"/>
      <c r="D173" s="16"/>
      <c r="E173" s="15"/>
      <c r="F173" s="15"/>
      <c r="G173" s="21"/>
      <c r="H173" s="22"/>
    </row>
    <row r="174" spans="1:8" x14ac:dyDescent="0.2">
      <c r="A174" s="26"/>
      <c r="B174" s="17"/>
      <c r="C174" s="17"/>
      <c r="D174" s="16"/>
      <c r="E174" s="26"/>
      <c r="F174" s="26"/>
      <c r="G174" s="21"/>
      <c r="H174" s="22"/>
    </row>
    <row r="175" spans="1:8" x14ac:dyDescent="0.2">
      <c r="A175" s="15"/>
      <c r="B175" s="30"/>
      <c r="C175" s="16"/>
      <c r="D175" s="16"/>
      <c r="E175" s="15"/>
      <c r="F175" s="4"/>
      <c r="G175" s="21"/>
      <c r="H175" s="22"/>
    </row>
    <row r="176" spans="1:8" x14ac:dyDescent="0.2">
      <c r="A176" s="26"/>
      <c r="B176" s="18"/>
      <c r="C176" s="18"/>
      <c r="D176" s="27"/>
      <c r="E176" s="27"/>
      <c r="F176" s="27"/>
      <c r="G176" s="21"/>
      <c r="H176" s="22"/>
    </row>
    <row r="177" spans="1:8" x14ac:dyDescent="0.2">
      <c r="A177" s="2"/>
      <c r="B177" s="63"/>
      <c r="C177" s="63"/>
      <c r="D177" s="27"/>
      <c r="E177" s="27"/>
      <c r="F177" s="27"/>
      <c r="G177" s="20"/>
      <c r="H177" s="22"/>
    </row>
    <row r="178" spans="1:8" x14ac:dyDescent="0.2">
      <c r="A178" s="15"/>
      <c r="E178" s="4"/>
      <c r="F178" s="4"/>
      <c r="G178" s="21"/>
      <c r="H178" s="22"/>
    </row>
    <row r="179" spans="1:8" x14ac:dyDescent="0.2">
      <c r="A179" s="15"/>
      <c r="B179" s="16"/>
      <c r="C179" s="16"/>
      <c r="D179" s="16"/>
      <c r="E179" s="15"/>
      <c r="F179" s="15"/>
      <c r="G179" s="21"/>
      <c r="H179" s="22"/>
    </row>
    <row r="180" spans="1:8" x14ac:dyDescent="0.2">
      <c r="A180" s="15"/>
      <c r="B180" s="16"/>
      <c r="C180" s="16"/>
      <c r="D180" s="16"/>
      <c r="E180" s="15"/>
      <c r="F180" s="15"/>
      <c r="G180" s="21"/>
      <c r="H180" s="22"/>
    </row>
    <row r="181" spans="1:8" x14ac:dyDescent="0.2">
      <c r="A181" s="15"/>
      <c r="B181" s="16"/>
      <c r="C181" s="16"/>
      <c r="D181" s="16"/>
      <c r="E181" s="15"/>
      <c r="F181" s="15"/>
      <c r="G181" s="21"/>
      <c r="H181" s="22"/>
    </row>
    <row r="182" spans="1:8" x14ac:dyDescent="0.2">
      <c r="A182" s="26"/>
      <c r="B182" s="17"/>
      <c r="C182" s="17"/>
      <c r="D182" s="16"/>
      <c r="E182" s="26"/>
      <c r="F182" s="26"/>
      <c r="G182" s="21"/>
      <c r="H182" s="22"/>
    </row>
    <row r="183" spans="1:8" x14ac:dyDescent="0.2">
      <c r="A183" s="15"/>
      <c r="B183" s="16"/>
      <c r="C183" s="16"/>
      <c r="D183" s="16"/>
      <c r="E183" s="15"/>
      <c r="F183" s="15"/>
      <c r="G183" s="21"/>
      <c r="H183" s="22"/>
    </row>
    <row r="184" spans="1:8" x14ac:dyDescent="0.2">
      <c r="A184" s="15"/>
      <c r="B184" s="16"/>
      <c r="C184" s="16"/>
      <c r="D184" s="16"/>
      <c r="E184" s="15"/>
      <c r="F184" s="15"/>
      <c r="G184" s="21"/>
      <c r="H184" s="22"/>
    </row>
    <row r="185" spans="1:8" x14ac:dyDescent="0.2">
      <c r="A185" s="15"/>
      <c r="B185" s="16"/>
      <c r="C185" s="16"/>
      <c r="D185" s="16"/>
      <c r="E185" s="15"/>
      <c r="F185" s="15"/>
      <c r="G185" s="21"/>
      <c r="H185" s="22"/>
    </row>
    <row r="186" spans="1:8" x14ac:dyDescent="0.2">
      <c r="A186" s="15"/>
      <c r="B186" s="16"/>
      <c r="C186" s="16"/>
      <c r="D186" s="16"/>
      <c r="E186" s="15"/>
      <c r="F186" s="15"/>
      <c r="G186" s="21"/>
      <c r="H186" s="22"/>
    </row>
    <row r="187" spans="1:8" x14ac:dyDescent="0.2">
      <c r="A187" s="26"/>
      <c r="B187" s="16"/>
      <c r="C187" s="18"/>
      <c r="D187" s="16"/>
      <c r="E187" s="27"/>
      <c r="F187" s="27"/>
      <c r="G187" s="21"/>
      <c r="H187" s="22"/>
    </row>
    <row r="188" spans="1:8" x14ac:dyDescent="0.2">
      <c r="A188" s="29"/>
      <c r="B188" s="30"/>
      <c r="C188" s="30"/>
      <c r="D188" s="16"/>
      <c r="E188" s="29"/>
      <c r="F188" s="29"/>
      <c r="G188" s="21"/>
      <c r="H188" s="22"/>
    </row>
    <row r="189" spans="1:8" x14ac:dyDescent="0.2">
      <c r="A189" s="29"/>
      <c r="B189" s="30"/>
      <c r="C189" s="30"/>
      <c r="D189" s="16"/>
      <c r="E189" s="29"/>
      <c r="F189" s="29"/>
      <c r="G189" s="21"/>
      <c r="H189" s="22"/>
    </row>
    <row r="190" spans="1:8" x14ac:dyDescent="0.2">
      <c r="A190" s="29"/>
      <c r="B190" s="30"/>
      <c r="C190" s="30"/>
      <c r="D190" s="16"/>
      <c r="E190" s="29"/>
      <c r="F190" s="29"/>
      <c r="G190" s="21"/>
      <c r="H190" s="22"/>
    </row>
    <row r="191" spans="1:8" x14ac:dyDescent="0.2">
      <c r="A191" s="15"/>
      <c r="B191" s="30"/>
      <c r="D191" s="16"/>
      <c r="E191" s="4"/>
      <c r="F191" s="4"/>
      <c r="G191" s="21"/>
      <c r="H191" s="22"/>
    </row>
    <row r="192" spans="1:8" x14ac:dyDescent="0.2">
      <c r="A192" s="15"/>
      <c r="B192" s="30"/>
      <c r="D192" s="16"/>
      <c r="E192" s="4"/>
      <c r="F192" s="4"/>
      <c r="G192" s="21"/>
      <c r="H192" s="22"/>
    </row>
    <row r="193" spans="1:8" x14ac:dyDescent="0.2">
      <c r="A193" s="28"/>
      <c r="B193" s="63"/>
      <c r="C193" s="63"/>
      <c r="D193" s="27"/>
      <c r="E193" s="27"/>
      <c r="F193" s="27"/>
      <c r="G193" s="20"/>
      <c r="H193" s="22"/>
    </row>
    <row r="194" spans="1:8" x14ac:dyDescent="0.2">
      <c r="A194" s="15"/>
      <c r="E194" s="4"/>
      <c r="F194" s="4"/>
      <c r="G194" s="21"/>
      <c r="H194" s="20"/>
    </row>
    <row r="195" spans="1:8" x14ac:dyDescent="0.2">
      <c r="A195" s="15"/>
      <c r="B195" s="16"/>
      <c r="C195" s="16"/>
      <c r="D195" s="16"/>
      <c r="E195" s="15"/>
      <c r="F195" s="15"/>
      <c r="G195" s="21"/>
      <c r="H195" s="22"/>
    </row>
    <row r="196" spans="1:8" x14ac:dyDescent="0.2">
      <c r="A196" s="15"/>
      <c r="B196" s="16"/>
      <c r="C196" s="16"/>
      <c r="D196" s="16"/>
      <c r="E196" s="15"/>
      <c r="F196" s="15"/>
      <c r="G196" s="21"/>
      <c r="H196" s="22"/>
    </row>
    <row r="197" spans="1:8" x14ac:dyDescent="0.2">
      <c r="A197" s="15"/>
      <c r="B197" s="16"/>
      <c r="C197" s="16"/>
      <c r="D197" s="16"/>
      <c r="E197" s="15"/>
      <c r="F197" s="15"/>
      <c r="G197" s="21"/>
      <c r="H197" s="22"/>
    </row>
    <row r="198" spans="1:8" x14ac:dyDescent="0.2">
      <c r="A198" s="26"/>
      <c r="B198" s="17"/>
      <c r="C198" s="17"/>
      <c r="D198" s="16"/>
      <c r="E198" s="26"/>
      <c r="F198" s="26"/>
      <c r="G198" s="21"/>
      <c r="H198" s="22"/>
    </row>
    <row r="199" spans="1:8" x14ac:dyDescent="0.2">
      <c r="A199" s="15"/>
      <c r="B199" s="16"/>
      <c r="C199" s="16"/>
      <c r="D199" s="16"/>
      <c r="E199" s="15"/>
      <c r="F199" s="15"/>
      <c r="G199" s="21"/>
      <c r="H199" s="22"/>
    </row>
    <row r="200" spans="1:8" x14ac:dyDescent="0.2">
      <c r="A200" s="15"/>
      <c r="B200" s="16"/>
      <c r="C200" s="16"/>
      <c r="D200" s="16"/>
      <c r="E200" s="15"/>
      <c r="F200" s="15"/>
      <c r="G200" s="21"/>
      <c r="H200" s="22"/>
    </row>
    <row r="201" spans="1:8" x14ac:dyDescent="0.2">
      <c r="A201" s="15"/>
      <c r="B201" s="16"/>
      <c r="C201" s="16"/>
      <c r="D201" s="16"/>
      <c r="E201" s="15"/>
      <c r="F201" s="15"/>
      <c r="G201" s="21"/>
      <c r="H201" s="22"/>
    </row>
    <row r="202" spans="1:8" x14ac:dyDescent="0.2">
      <c r="A202" s="15"/>
      <c r="B202" s="16"/>
      <c r="C202" s="16"/>
      <c r="D202" s="16"/>
      <c r="E202" s="15"/>
      <c r="F202" s="15"/>
      <c r="G202" s="21"/>
      <c r="H202" s="22"/>
    </row>
    <row r="203" spans="1:8" x14ac:dyDescent="0.2">
      <c r="A203" s="15"/>
      <c r="B203" s="16"/>
      <c r="C203" s="16"/>
      <c r="D203" s="16"/>
      <c r="E203" s="15"/>
      <c r="F203" s="4"/>
      <c r="G203" s="21"/>
      <c r="H203" s="22"/>
    </row>
    <row r="204" spans="1:8" x14ac:dyDescent="0.2">
      <c r="A204" s="29"/>
      <c r="B204" s="30"/>
      <c r="C204" s="30"/>
      <c r="D204" s="16"/>
      <c r="E204" s="29"/>
      <c r="F204" s="29"/>
      <c r="G204" s="21"/>
      <c r="H204" s="22"/>
    </row>
    <row r="205" spans="1:8" x14ac:dyDescent="0.2">
      <c r="A205" s="29"/>
      <c r="B205" s="30"/>
      <c r="C205" s="30"/>
      <c r="D205" s="16"/>
      <c r="E205" s="29"/>
      <c r="F205" s="29"/>
      <c r="G205" s="21"/>
      <c r="H205" s="22"/>
    </row>
    <row r="206" spans="1:8" x14ac:dyDescent="0.2">
      <c r="A206" s="29"/>
      <c r="B206" s="30"/>
      <c r="C206" s="30"/>
      <c r="D206" s="16"/>
      <c r="E206" s="29"/>
      <c r="F206" s="29"/>
      <c r="G206" s="21"/>
      <c r="H206" s="22"/>
    </row>
    <row r="207" spans="1:8" x14ac:dyDescent="0.2">
      <c r="A207" s="15"/>
      <c r="B207" s="30"/>
      <c r="C207" s="30"/>
      <c r="E207" s="4"/>
      <c r="F207" s="4"/>
      <c r="G207" s="21"/>
      <c r="H207" s="5"/>
    </row>
    <row r="208" spans="1:8" x14ac:dyDescent="0.2">
      <c r="A208" s="15"/>
      <c r="B208" s="30"/>
      <c r="E208" s="4"/>
      <c r="F208" s="4"/>
      <c r="G208" s="21"/>
      <c r="H208" s="5"/>
    </row>
    <row r="209" spans="1:8" x14ac:dyDescent="0.2">
      <c r="A209" s="28"/>
      <c r="B209" s="63"/>
      <c r="C209" s="63"/>
      <c r="D209" s="27"/>
      <c r="E209" s="27"/>
      <c r="F209" s="27"/>
      <c r="G209" s="20"/>
      <c r="H209" s="5"/>
    </row>
    <row r="210" spans="1:8" x14ac:dyDescent="0.2">
      <c r="A210" s="15"/>
      <c r="E210" s="4"/>
      <c r="F210" s="4"/>
      <c r="G210" s="22"/>
      <c r="H210" s="5"/>
    </row>
    <row r="211" spans="1:8" x14ac:dyDescent="0.2">
      <c r="A211" s="15"/>
      <c r="B211" s="16"/>
      <c r="C211" s="16"/>
      <c r="D211" s="16"/>
      <c r="E211" s="15"/>
      <c r="F211" s="15"/>
      <c r="G211" s="22"/>
      <c r="H211" s="5"/>
    </row>
    <row r="212" spans="1:8" x14ac:dyDescent="0.2">
      <c r="A212" s="15"/>
      <c r="B212" s="16"/>
      <c r="C212" s="16"/>
      <c r="D212" s="16"/>
      <c r="E212" s="15"/>
      <c r="F212" s="15"/>
      <c r="G212" s="22"/>
      <c r="H212" s="5"/>
    </row>
    <row r="213" spans="1:8" x14ac:dyDescent="0.2">
      <c r="A213" s="15"/>
      <c r="B213" s="16"/>
      <c r="C213" s="16"/>
      <c r="D213" s="16"/>
      <c r="E213" s="15"/>
      <c r="F213" s="15"/>
      <c r="G213" s="22"/>
      <c r="H213" s="5"/>
    </row>
    <row r="214" spans="1:8" x14ac:dyDescent="0.2">
      <c r="A214" s="26"/>
      <c r="B214" s="17"/>
      <c r="C214" s="17"/>
      <c r="D214" s="16"/>
      <c r="E214" s="26"/>
      <c r="F214" s="26"/>
      <c r="G214" s="22"/>
      <c r="H214" s="5"/>
    </row>
    <row r="215" spans="1:8" x14ac:dyDescent="0.2">
      <c r="A215" s="15"/>
      <c r="B215" s="16"/>
      <c r="C215" s="16"/>
      <c r="D215" s="16"/>
      <c r="E215" s="15"/>
      <c r="F215" s="15"/>
      <c r="G215" s="22"/>
      <c r="H215" s="5"/>
    </row>
    <row r="216" spans="1:8" x14ac:dyDescent="0.2">
      <c r="A216" s="15"/>
      <c r="B216" s="16"/>
      <c r="C216" s="16"/>
      <c r="D216" s="16"/>
      <c r="E216" s="15"/>
      <c r="F216" s="15"/>
      <c r="G216" s="22"/>
      <c r="H216" s="5"/>
    </row>
    <row r="217" spans="1:8" x14ac:dyDescent="0.2">
      <c r="A217" s="15"/>
      <c r="B217" s="16"/>
      <c r="C217" s="16"/>
      <c r="D217" s="16"/>
      <c r="E217" s="15"/>
      <c r="F217" s="15"/>
      <c r="G217" s="22"/>
      <c r="H217" s="5"/>
    </row>
    <row r="218" spans="1:8" x14ac:dyDescent="0.2">
      <c r="A218" s="15"/>
      <c r="B218" s="16"/>
      <c r="C218" s="16"/>
      <c r="D218" s="16"/>
      <c r="E218" s="15"/>
      <c r="F218" s="4"/>
      <c r="G218" s="22"/>
      <c r="H218" s="5"/>
    </row>
    <row r="219" spans="1:8" x14ac:dyDescent="0.2">
      <c r="A219" s="15"/>
      <c r="B219" s="16"/>
      <c r="C219" s="16"/>
      <c r="D219" s="16"/>
      <c r="E219" s="15"/>
      <c r="F219" s="4"/>
      <c r="G219" s="22"/>
      <c r="H219" s="5"/>
    </row>
    <row r="220" spans="1:8" x14ac:dyDescent="0.2">
      <c r="A220" s="29"/>
      <c r="B220" s="30"/>
      <c r="C220" s="30"/>
      <c r="D220" s="16"/>
      <c r="E220" s="29"/>
      <c r="F220" s="29"/>
      <c r="G220" s="22"/>
      <c r="H220" s="5"/>
    </row>
    <row r="221" spans="1:8" x14ac:dyDescent="0.2">
      <c r="A221" s="29"/>
      <c r="B221" s="30"/>
      <c r="C221" s="30"/>
      <c r="D221" s="16"/>
      <c r="E221" s="29"/>
      <c r="F221" s="29"/>
      <c r="G221" s="22"/>
      <c r="H221" s="5"/>
    </row>
    <row r="222" spans="1:8" x14ac:dyDescent="0.2">
      <c r="A222" s="29"/>
      <c r="B222" s="30"/>
      <c r="C222" s="30"/>
      <c r="D222" s="16"/>
      <c r="E222" s="29"/>
      <c r="F222" s="29"/>
      <c r="G222" s="22"/>
      <c r="H222" s="5"/>
    </row>
    <row r="223" spans="1:8" x14ac:dyDescent="0.2">
      <c r="A223" s="15"/>
      <c r="B223" s="30"/>
      <c r="C223" s="16"/>
      <c r="D223" s="16"/>
      <c r="E223" s="15"/>
      <c r="F223" s="4"/>
      <c r="G223" s="22"/>
      <c r="H223" s="3"/>
    </row>
    <row r="224" spans="1:8" x14ac:dyDescent="0.2">
      <c r="A224" s="15"/>
      <c r="B224" s="30"/>
      <c r="C224" s="16"/>
      <c r="D224" s="16"/>
      <c r="E224" s="4"/>
      <c r="F224" s="4"/>
      <c r="G224" s="22"/>
      <c r="H224" s="3"/>
    </row>
    <row r="225" spans="1:8" x14ac:dyDescent="0.2">
      <c r="A225" s="28"/>
      <c r="B225" s="63"/>
      <c r="C225" s="63"/>
      <c r="D225" s="27"/>
      <c r="E225" s="27"/>
      <c r="F225" s="27"/>
      <c r="G225" s="20"/>
      <c r="H225" s="3"/>
    </row>
    <row r="226" spans="1:8" x14ac:dyDescent="0.2">
      <c r="A226" s="15"/>
      <c r="E226" s="4"/>
      <c r="F226" s="4"/>
      <c r="G226" s="22"/>
    </row>
    <row r="227" spans="1:8" x14ac:dyDescent="0.2">
      <c r="A227" s="15"/>
      <c r="B227" s="16"/>
      <c r="C227" s="16"/>
      <c r="D227" s="16"/>
      <c r="E227" s="15"/>
      <c r="F227" s="15"/>
      <c r="G227" s="22"/>
      <c r="H227" s="6"/>
    </row>
    <row r="228" spans="1:8" x14ac:dyDescent="0.2">
      <c r="A228" s="15"/>
      <c r="B228" s="16"/>
      <c r="C228" s="16"/>
      <c r="D228" s="16"/>
      <c r="E228" s="15"/>
      <c r="F228" s="15"/>
      <c r="G228" s="22"/>
      <c r="H228" s="5"/>
    </row>
    <row r="229" spans="1:8" x14ac:dyDescent="0.2">
      <c r="A229" s="15"/>
      <c r="B229" s="16"/>
      <c r="C229" s="16"/>
      <c r="D229" s="16"/>
      <c r="E229" s="15"/>
      <c r="F229" s="15"/>
      <c r="G229" s="22"/>
      <c r="H229" s="5"/>
    </row>
    <row r="230" spans="1:8" x14ac:dyDescent="0.2">
      <c r="A230" s="26"/>
      <c r="B230" s="17"/>
      <c r="C230" s="17"/>
      <c r="D230" s="16"/>
      <c r="E230" s="26"/>
      <c r="F230" s="26"/>
      <c r="G230" s="22"/>
      <c r="H230" s="5"/>
    </row>
    <row r="231" spans="1:8" x14ac:dyDescent="0.2">
      <c r="A231" s="15"/>
      <c r="B231" s="16"/>
      <c r="C231" s="16"/>
      <c r="D231" s="16"/>
      <c r="E231" s="15"/>
      <c r="F231" s="15"/>
      <c r="G231" s="22"/>
      <c r="H231" s="5"/>
    </row>
    <row r="232" spans="1:8" x14ac:dyDescent="0.2">
      <c r="A232" s="15"/>
      <c r="B232" s="16"/>
      <c r="C232" s="16"/>
      <c r="D232" s="16"/>
      <c r="E232" s="15"/>
      <c r="F232" s="15"/>
      <c r="G232" s="22"/>
      <c r="H232" s="5"/>
    </row>
    <row r="233" spans="1:8" x14ac:dyDescent="0.2">
      <c r="A233" s="15"/>
      <c r="B233" s="16"/>
      <c r="C233" s="16"/>
      <c r="D233" s="16"/>
      <c r="E233" s="15"/>
      <c r="F233" s="15"/>
      <c r="G233" s="22"/>
      <c r="H233" s="5"/>
    </row>
    <row r="234" spans="1:8" x14ac:dyDescent="0.2">
      <c r="A234" s="15"/>
      <c r="B234" s="16"/>
      <c r="C234" s="16"/>
      <c r="D234" s="16"/>
      <c r="E234" s="15"/>
      <c r="F234" s="24"/>
      <c r="G234" s="22"/>
      <c r="H234" s="5"/>
    </row>
    <row r="235" spans="1:8" x14ac:dyDescent="0.2">
      <c r="A235" s="15"/>
      <c r="B235" s="16"/>
      <c r="C235" s="16"/>
      <c r="D235" s="16"/>
      <c r="E235" s="15"/>
      <c r="F235" s="24"/>
      <c r="G235" s="22"/>
      <c r="H235" s="5"/>
    </row>
    <row r="236" spans="1:8" x14ac:dyDescent="0.2">
      <c r="A236" s="29"/>
      <c r="B236" s="30"/>
      <c r="C236" s="30"/>
      <c r="D236" s="16"/>
      <c r="E236" s="29"/>
      <c r="F236" s="29"/>
      <c r="G236" s="22"/>
      <c r="H236" s="5"/>
    </row>
    <row r="237" spans="1:8" x14ac:dyDescent="0.2">
      <c r="A237" s="29"/>
      <c r="B237" s="30"/>
      <c r="C237" s="30"/>
      <c r="D237" s="16"/>
      <c r="E237" s="29"/>
      <c r="F237" s="29"/>
      <c r="G237" s="22"/>
      <c r="H237" s="5"/>
    </row>
    <row r="238" spans="1:8" x14ac:dyDescent="0.2">
      <c r="A238" s="29"/>
      <c r="B238" s="30"/>
      <c r="C238" s="30"/>
      <c r="D238" s="16"/>
      <c r="E238" s="29"/>
      <c r="F238" s="29"/>
      <c r="G238" s="22"/>
      <c r="H238" s="5"/>
    </row>
    <row r="239" spans="1:8" x14ac:dyDescent="0.2">
      <c r="A239" s="15"/>
      <c r="B239" s="30"/>
      <c r="C239" s="16"/>
      <c r="D239" s="16"/>
      <c r="E239" s="15"/>
      <c r="F239" s="24"/>
      <c r="G239" s="21"/>
      <c r="H239" s="5"/>
    </row>
    <row r="240" spans="1:8" x14ac:dyDescent="0.2">
      <c r="A240" s="4"/>
      <c r="B240" s="30"/>
      <c r="C240" s="16"/>
      <c r="D240" s="16"/>
      <c r="E240" s="15"/>
      <c r="F240" s="24"/>
      <c r="G240" s="21"/>
      <c r="H240" s="5"/>
    </row>
    <row r="241" spans="1:8" x14ac:dyDescent="0.2">
      <c r="A241" s="2"/>
      <c r="B241" s="63"/>
      <c r="C241" s="63"/>
      <c r="D241" s="27"/>
      <c r="E241" s="27"/>
      <c r="F241" s="27"/>
      <c r="G241" s="20"/>
      <c r="H241" s="5"/>
    </row>
    <row r="242" spans="1:8" x14ac:dyDescent="0.2">
      <c r="A242" s="15"/>
      <c r="E242" s="4"/>
      <c r="F242" s="4"/>
      <c r="G242" s="21"/>
      <c r="H242" s="5"/>
    </row>
    <row r="243" spans="1:8" x14ac:dyDescent="0.2">
      <c r="A243" s="15"/>
      <c r="B243" s="16"/>
      <c r="C243" s="16"/>
      <c r="D243" s="16"/>
      <c r="E243" s="15"/>
      <c r="F243" s="15"/>
      <c r="G243" s="21"/>
      <c r="H243" s="5"/>
    </row>
    <row r="244" spans="1:8" x14ac:dyDescent="0.2">
      <c r="A244" s="15"/>
      <c r="B244" s="16"/>
      <c r="C244" s="16"/>
      <c r="D244" s="16"/>
      <c r="E244" s="15"/>
      <c r="F244" s="15"/>
      <c r="G244" s="21"/>
      <c r="H244" s="5"/>
    </row>
    <row r="245" spans="1:8" x14ac:dyDescent="0.2">
      <c r="A245" s="15"/>
      <c r="B245" s="16"/>
      <c r="C245" s="16"/>
      <c r="D245" s="16"/>
      <c r="E245" s="15"/>
      <c r="F245" s="15"/>
      <c r="G245" s="21"/>
      <c r="H245" s="5"/>
    </row>
    <row r="246" spans="1:8" x14ac:dyDescent="0.2">
      <c r="A246" s="26"/>
      <c r="B246" s="17"/>
      <c r="C246" s="17"/>
      <c r="D246" s="16"/>
      <c r="E246" s="26"/>
      <c r="F246" s="26"/>
      <c r="G246" s="21"/>
      <c r="H246" s="5"/>
    </row>
    <row r="247" spans="1:8" x14ac:dyDescent="0.2">
      <c r="A247" s="15"/>
      <c r="B247" s="16"/>
      <c r="C247" s="16"/>
      <c r="D247" s="16"/>
      <c r="E247" s="15"/>
      <c r="F247" s="15"/>
      <c r="G247" s="21"/>
      <c r="H247" s="5"/>
    </row>
    <row r="248" spans="1:8" x14ac:dyDescent="0.2">
      <c r="A248" s="15"/>
      <c r="B248" s="32"/>
      <c r="C248" s="32"/>
      <c r="D248" s="16"/>
      <c r="E248" s="15"/>
      <c r="F248" s="15"/>
      <c r="G248" s="21"/>
      <c r="H248" s="5"/>
    </row>
    <row r="249" spans="1:8" x14ac:dyDescent="0.2">
      <c r="A249" s="15"/>
      <c r="B249" s="32"/>
      <c r="C249" s="32"/>
      <c r="D249" s="16"/>
      <c r="E249" s="15"/>
      <c r="F249" s="15"/>
      <c r="G249" s="21"/>
      <c r="H249" s="5"/>
    </row>
    <row r="250" spans="1:8" x14ac:dyDescent="0.2">
      <c r="A250" s="15"/>
      <c r="B250" s="32"/>
      <c r="C250" s="32"/>
      <c r="D250" s="16"/>
      <c r="E250" s="15"/>
      <c r="F250" s="16"/>
      <c r="G250" s="21"/>
      <c r="H250" s="5"/>
    </row>
    <row r="251" spans="1:8" x14ac:dyDescent="0.2">
      <c r="A251" s="26"/>
      <c r="B251" s="33"/>
      <c r="C251" s="33"/>
      <c r="D251" s="16"/>
      <c r="E251" s="26"/>
      <c r="F251" s="26"/>
      <c r="G251" s="21"/>
      <c r="H251" s="3"/>
    </row>
    <row r="252" spans="1:8" x14ac:dyDescent="0.2">
      <c r="A252" s="29"/>
      <c r="B252" s="34"/>
      <c r="C252" s="34"/>
      <c r="D252" s="16"/>
      <c r="E252" s="29"/>
      <c r="F252" s="29"/>
      <c r="G252" s="21"/>
      <c r="H252" s="3"/>
    </row>
    <row r="253" spans="1:8" x14ac:dyDescent="0.2">
      <c r="A253" s="29"/>
      <c r="B253" s="35"/>
      <c r="C253" s="34"/>
      <c r="D253" s="16"/>
      <c r="E253" s="29"/>
      <c r="F253" s="29"/>
      <c r="G253" s="21"/>
      <c r="H253" s="3"/>
    </row>
    <row r="254" spans="1:8" x14ac:dyDescent="0.2">
      <c r="A254" s="29"/>
      <c r="B254" s="35"/>
      <c r="C254" s="30"/>
      <c r="D254" s="16"/>
      <c r="E254" s="29"/>
      <c r="F254" s="29"/>
      <c r="G254" s="21"/>
      <c r="H254" s="3"/>
    </row>
    <row r="255" spans="1:8" x14ac:dyDescent="0.2">
      <c r="A255" s="26"/>
      <c r="B255" s="17"/>
      <c r="C255" s="26"/>
      <c r="D255" s="16"/>
      <c r="E255" s="26"/>
      <c r="F255" s="26"/>
      <c r="G255" s="21"/>
      <c r="H255" s="3"/>
    </row>
    <row r="256" spans="1:8" x14ac:dyDescent="0.2">
      <c r="A256" s="26"/>
      <c r="B256" s="17"/>
      <c r="C256" s="26"/>
      <c r="D256" s="16"/>
      <c r="E256" s="26"/>
      <c r="F256" s="26"/>
      <c r="G256" s="21"/>
      <c r="H256" s="3"/>
    </row>
    <row r="257" spans="1:8" x14ac:dyDescent="0.2">
      <c r="A257" s="28"/>
      <c r="B257" s="63"/>
      <c r="C257" s="63"/>
      <c r="D257" s="27"/>
      <c r="E257" s="27"/>
      <c r="F257" s="27"/>
      <c r="G257" s="20"/>
      <c r="H257" s="3"/>
    </row>
    <row r="258" spans="1:8" x14ac:dyDescent="0.2">
      <c r="A258" s="15"/>
      <c r="E258" s="4"/>
      <c r="F258" s="15"/>
      <c r="G258" s="21"/>
      <c r="H258" s="3"/>
    </row>
    <row r="259" spans="1:8" x14ac:dyDescent="0.2">
      <c r="A259" s="15"/>
      <c r="B259" s="16"/>
      <c r="C259" s="16"/>
      <c r="D259" s="16"/>
      <c r="E259" s="15"/>
      <c r="F259" s="4"/>
      <c r="G259" s="21"/>
    </row>
    <row r="260" spans="1:8" x14ac:dyDescent="0.2">
      <c r="A260" s="15"/>
      <c r="B260" s="16"/>
      <c r="C260" s="16"/>
      <c r="D260" s="16"/>
      <c r="E260" s="15"/>
      <c r="F260" s="15"/>
      <c r="G260" s="21"/>
      <c r="H260" s="6"/>
    </row>
    <row r="261" spans="1:8" x14ac:dyDescent="0.2">
      <c r="A261" s="15"/>
      <c r="B261" s="16"/>
      <c r="C261" s="16"/>
      <c r="D261" s="16"/>
      <c r="E261" s="15"/>
      <c r="F261" s="15"/>
      <c r="G261" s="21"/>
      <c r="H261" s="23"/>
    </row>
    <row r="262" spans="1:8" x14ac:dyDescent="0.2">
      <c r="A262" s="26"/>
      <c r="B262" s="17"/>
      <c r="C262" s="17"/>
      <c r="D262" s="16"/>
      <c r="E262" s="26"/>
      <c r="F262" s="26"/>
      <c r="G262" s="21"/>
      <c r="H262" s="23"/>
    </row>
    <row r="263" spans="1:8" x14ac:dyDescent="0.2">
      <c r="A263" s="15"/>
      <c r="B263" s="16"/>
      <c r="C263" s="16"/>
      <c r="D263" s="16"/>
      <c r="E263" s="15"/>
      <c r="F263" s="15"/>
      <c r="G263" s="21"/>
      <c r="H263" s="5"/>
    </row>
    <row r="264" spans="1:8" x14ac:dyDescent="0.2">
      <c r="A264" s="15"/>
      <c r="B264" s="16"/>
      <c r="C264" s="16"/>
      <c r="D264" s="16"/>
      <c r="E264" s="15"/>
      <c r="F264" s="15"/>
      <c r="G264" s="21"/>
      <c r="H264" s="5"/>
    </row>
    <row r="265" spans="1:8" x14ac:dyDescent="0.2">
      <c r="A265" s="15"/>
      <c r="B265" s="16"/>
      <c r="C265" s="16"/>
      <c r="D265" s="16"/>
      <c r="E265" s="15"/>
      <c r="F265" s="15"/>
      <c r="G265" s="21"/>
      <c r="H265" s="5"/>
    </row>
    <row r="266" spans="1:8" x14ac:dyDescent="0.2">
      <c r="A266" s="15"/>
      <c r="B266" s="16"/>
      <c r="C266" s="16"/>
      <c r="D266" s="16"/>
      <c r="E266" s="15"/>
      <c r="F266" s="4"/>
      <c r="G266" s="21"/>
      <c r="H266" s="5"/>
    </row>
    <row r="267" spans="1:8" x14ac:dyDescent="0.2">
      <c r="A267" s="15"/>
      <c r="B267" s="16"/>
      <c r="C267" s="16"/>
      <c r="D267" s="16"/>
      <c r="E267" s="15"/>
      <c r="F267" s="4"/>
      <c r="G267" s="21"/>
      <c r="H267" s="5"/>
    </row>
    <row r="268" spans="1:8" x14ac:dyDescent="0.2">
      <c r="A268" s="29"/>
      <c r="B268" s="30"/>
      <c r="C268" s="30"/>
      <c r="D268" s="16"/>
      <c r="E268" s="29"/>
      <c r="F268" s="29"/>
      <c r="G268" s="21"/>
      <c r="H268" s="5"/>
    </row>
    <row r="269" spans="1:8" x14ac:dyDescent="0.2">
      <c r="A269" s="29"/>
      <c r="B269" s="30"/>
      <c r="C269" s="30"/>
      <c r="D269" s="16"/>
      <c r="E269" s="29"/>
      <c r="F269" s="29"/>
      <c r="G269" s="21"/>
      <c r="H269" s="5"/>
    </row>
    <row r="270" spans="1:8" x14ac:dyDescent="0.2">
      <c r="A270" s="29"/>
      <c r="B270" s="30"/>
      <c r="C270" s="30"/>
      <c r="D270" s="16"/>
      <c r="E270" s="29"/>
      <c r="F270" s="29"/>
      <c r="G270" s="21"/>
      <c r="H270" s="5"/>
    </row>
    <row r="271" spans="1:8" x14ac:dyDescent="0.2">
      <c r="A271" s="26"/>
      <c r="B271" s="18"/>
      <c r="C271" s="18"/>
      <c r="D271" s="16"/>
      <c r="E271" s="15"/>
      <c r="F271" s="15"/>
      <c r="G271" s="21"/>
      <c r="H271" s="5"/>
    </row>
    <row r="272" spans="1:8" x14ac:dyDescent="0.2">
      <c r="A272" s="15"/>
      <c r="B272" s="30"/>
      <c r="D272" s="16"/>
      <c r="E272" s="4"/>
      <c r="F272" s="4"/>
      <c r="G272" s="22"/>
      <c r="H272" s="5"/>
    </row>
    <row r="273" spans="1:8" x14ac:dyDescent="0.2">
      <c r="A273" s="28"/>
      <c r="B273" s="63"/>
      <c r="C273" s="63"/>
      <c r="D273" s="27"/>
      <c r="E273" s="27"/>
      <c r="F273" s="27"/>
      <c r="G273" s="20"/>
      <c r="H273" s="5"/>
    </row>
    <row r="274" spans="1:8" x14ac:dyDescent="0.2">
      <c r="A274" s="15"/>
      <c r="E274" s="4"/>
      <c r="F274" s="4"/>
      <c r="G274" s="21"/>
      <c r="H274" s="5"/>
    </row>
    <row r="275" spans="1:8" x14ac:dyDescent="0.2">
      <c r="A275" s="15"/>
      <c r="B275" s="16"/>
      <c r="C275" s="16"/>
      <c r="D275" s="16"/>
      <c r="E275" s="15"/>
      <c r="F275" s="15"/>
      <c r="G275" s="21"/>
      <c r="H275" s="5"/>
    </row>
    <row r="276" spans="1:8" x14ac:dyDescent="0.2">
      <c r="A276" s="15"/>
      <c r="B276" s="16"/>
      <c r="C276" s="16"/>
      <c r="D276" s="16"/>
      <c r="E276" s="15"/>
      <c r="F276" s="15"/>
      <c r="G276" s="21"/>
      <c r="H276" s="5"/>
    </row>
    <row r="277" spans="1:8" x14ac:dyDescent="0.2">
      <c r="A277" s="15"/>
      <c r="B277" s="16"/>
      <c r="C277" s="16"/>
      <c r="D277" s="16"/>
      <c r="E277" s="15"/>
      <c r="F277" s="15"/>
      <c r="G277" s="21"/>
      <c r="H277" s="5"/>
    </row>
    <row r="278" spans="1:8" x14ac:dyDescent="0.2">
      <c r="A278" s="26"/>
      <c r="B278" s="17"/>
      <c r="C278" s="17"/>
      <c r="D278" s="16"/>
      <c r="E278" s="26"/>
      <c r="F278" s="26"/>
      <c r="G278" s="21"/>
      <c r="H278" s="5"/>
    </row>
    <row r="279" spans="1:8" x14ac:dyDescent="0.2">
      <c r="A279" s="15"/>
      <c r="B279" s="16"/>
      <c r="C279" s="16"/>
      <c r="D279" s="16"/>
      <c r="E279" s="15"/>
      <c r="F279" s="15"/>
      <c r="G279" s="21"/>
      <c r="H279" s="5"/>
    </row>
    <row r="280" spans="1:8" x14ac:dyDescent="0.2">
      <c r="A280" s="15"/>
      <c r="B280" s="16"/>
      <c r="C280" s="16"/>
      <c r="D280" s="16"/>
      <c r="E280" s="15"/>
      <c r="F280" s="15"/>
      <c r="G280" s="21"/>
      <c r="H280" s="5"/>
    </row>
    <row r="281" spans="1:8" x14ac:dyDescent="0.2">
      <c r="A281" s="15"/>
      <c r="B281" s="16"/>
      <c r="C281" s="16"/>
      <c r="D281" s="16"/>
      <c r="E281" s="15"/>
      <c r="F281" s="15"/>
      <c r="G281" s="21"/>
      <c r="H281" s="5"/>
    </row>
    <row r="282" spans="1:8" x14ac:dyDescent="0.2">
      <c r="A282" s="15"/>
      <c r="B282" s="16"/>
      <c r="C282" s="16"/>
      <c r="D282" s="16"/>
      <c r="E282" s="15"/>
      <c r="F282" s="4"/>
      <c r="G282" s="21"/>
      <c r="H282" s="5"/>
    </row>
    <row r="283" spans="1:8" x14ac:dyDescent="0.2">
      <c r="A283" s="15"/>
      <c r="B283" s="16"/>
      <c r="C283" s="16"/>
      <c r="D283" s="16"/>
      <c r="E283" s="4"/>
      <c r="F283" s="4"/>
      <c r="G283" s="21"/>
      <c r="H283" s="5"/>
    </row>
    <row r="284" spans="1:8" x14ac:dyDescent="0.2">
      <c r="A284" s="29"/>
      <c r="B284" s="30"/>
      <c r="C284" s="30"/>
      <c r="D284" s="16"/>
      <c r="E284" s="29"/>
      <c r="F284" s="29"/>
      <c r="G284" s="21"/>
      <c r="H284" s="5"/>
    </row>
    <row r="285" spans="1:8" x14ac:dyDescent="0.2">
      <c r="A285" s="29"/>
      <c r="B285" s="30"/>
      <c r="C285" s="30"/>
      <c r="D285" s="16"/>
      <c r="E285" s="29"/>
      <c r="F285" s="29"/>
      <c r="G285" s="21"/>
      <c r="H285" s="5"/>
    </row>
    <row r="286" spans="1:8" x14ac:dyDescent="0.2">
      <c r="A286" s="29"/>
      <c r="B286" s="30"/>
      <c r="C286" s="30"/>
      <c r="D286" s="16"/>
      <c r="E286" s="29"/>
      <c r="F286" s="29"/>
      <c r="G286" s="21"/>
      <c r="H286" s="5"/>
    </row>
    <row r="287" spans="1:8" x14ac:dyDescent="0.2">
      <c r="A287" s="15"/>
      <c r="B287" s="30"/>
      <c r="E287" s="4"/>
      <c r="F287" s="4"/>
      <c r="G287" s="21"/>
      <c r="H287" s="5"/>
    </row>
    <row r="288" spans="1:8" x14ac:dyDescent="0.2">
      <c r="A288" s="15"/>
      <c r="B288" s="30"/>
      <c r="E288" s="4"/>
      <c r="F288" s="4"/>
      <c r="G288" s="21"/>
      <c r="H288" s="5"/>
    </row>
    <row r="289" spans="1:8" x14ac:dyDescent="0.2">
      <c r="A289" s="28"/>
      <c r="B289" s="63"/>
      <c r="C289" s="63"/>
      <c r="D289" s="27"/>
      <c r="E289" s="27"/>
      <c r="F289" s="27"/>
      <c r="G289" s="20"/>
      <c r="H289" s="5"/>
    </row>
    <row r="290" spans="1:8" x14ac:dyDescent="0.2">
      <c r="A290" s="15"/>
      <c r="E290" s="4"/>
      <c r="F290" s="4"/>
      <c r="G290" s="21"/>
      <c r="H290" s="5"/>
    </row>
    <row r="291" spans="1:8" x14ac:dyDescent="0.2">
      <c r="A291" s="15"/>
      <c r="B291" s="16"/>
      <c r="C291" s="16"/>
      <c r="D291" s="16"/>
      <c r="E291" s="15"/>
      <c r="F291" s="15"/>
      <c r="G291" s="21"/>
      <c r="H291" s="5"/>
    </row>
    <row r="292" spans="1:8" x14ac:dyDescent="0.2">
      <c r="A292" s="15"/>
      <c r="B292" s="16"/>
      <c r="C292" s="16"/>
      <c r="D292" s="16"/>
      <c r="E292" s="15"/>
      <c r="F292" s="15"/>
      <c r="G292" s="21"/>
      <c r="H292" s="5"/>
    </row>
    <row r="293" spans="1:8" x14ac:dyDescent="0.2">
      <c r="A293" s="15"/>
      <c r="B293" s="16"/>
      <c r="C293" s="16"/>
      <c r="D293" s="16"/>
      <c r="E293" s="15"/>
      <c r="F293" s="15"/>
      <c r="G293" s="21"/>
      <c r="H293" s="3"/>
    </row>
    <row r="294" spans="1:8" x14ac:dyDescent="0.2">
      <c r="A294" s="26"/>
      <c r="B294" s="17"/>
      <c r="C294" s="17"/>
      <c r="D294" s="16"/>
      <c r="E294" s="26"/>
      <c r="F294" s="26"/>
      <c r="G294" s="21"/>
      <c r="H294" s="3"/>
    </row>
    <row r="295" spans="1:8" x14ac:dyDescent="0.2">
      <c r="A295" s="15"/>
      <c r="B295" s="16"/>
      <c r="C295" s="16"/>
      <c r="D295" s="16"/>
      <c r="E295" s="15"/>
      <c r="F295" s="15"/>
      <c r="G295" s="21"/>
      <c r="H295" s="3"/>
    </row>
    <row r="296" spans="1:8" x14ac:dyDescent="0.2">
      <c r="A296" s="15"/>
      <c r="B296" s="16"/>
      <c r="C296" s="16"/>
      <c r="D296" s="16"/>
      <c r="E296" s="15"/>
      <c r="F296" s="15"/>
      <c r="G296" s="21"/>
    </row>
    <row r="297" spans="1:8" x14ac:dyDescent="0.2">
      <c r="A297" s="15"/>
      <c r="B297" s="16"/>
      <c r="C297" s="16"/>
      <c r="D297" s="16"/>
      <c r="E297" s="15"/>
      <c r="F297" s="15"/>
      <c r="G297" s="21"/>
      <c r="H297" s="6"/>
    </row>
    <row r="298" spans="1:8" x14ac:dyDescent="0.2">
      <c r="A298" s="15"/>
      <c r="B298" s="16"/>
      <c r="C298" s="16"/>
      <c r="D298" s="16"/>
      <c r="E298" s="15"/>
      <c r="F298" s="4"/>
      <c r="G298" s="21"/>
      <c r="H298" s="3"/>
    </row>
    <row r="299" spans="1:8" x14ac:dyDescent="0.2">
      <c r="A299" s="15"/>
      <c r="B299" s="16"/>
      <c r="C299" s="16"/>
      <c r="D299" s="16"/>
      <c r="E299" s="15"/>
      <c r="F299" s="4"/>
      <c r="G299" s="21"/>
      <c r="H299" s="3"/>
    </row>
    <row r="300" spans="1:8" x14ac:dyDescent="0.2">
      <c r="A300" s="29"/>
      <c r="B300" s="30"/>
      <c r="C300" s="30"/>
      <c r="D300" s="16"/>
      <c r="E300" s="29"/>
      <c r="F300" s="29"/>
      <c r="G300" s="21"/>
      <c r="H300" s="3"/>
    </row>
    <row r="301" spans="1:8" x14ac:dyDescent="0.2">
      <c r="A301" s="29"/>
      <c r="B301" s="30"/>
      <c r="C301" s="30"/>
      <c r="D301" s="16"/>
      <c r="E301" s="29"/>
      <c r="F301" s="29"/>
      <c r="G301" s="21"/>
      <c r="H301" s="3"/>
    </row>
    <row r="302" spans="1:8" x14ac:dyDescent="0.2">
      <c r="A302" s="29"/>
      <c r="B302" s="30"/>
      <c r="C302" s="30"/>
      <c r="D302" s="16"/>
      <c r="E302" s="29"/>
      <c r="F302" s="29"/>
      <c r="G302" s="21"/>
      <c r="H302" s="3"/>
    </row>
    <row r="303" spans="1:8" x14ac:dyDescent="0.2">
      <c r="A303" s="15"/>
      <c r="B303" s="30"/>
      <c r="C303" s="16"/>
      <c r="D303" s="16"/>
      <c r="E303" s="15"/>
      <c r="F303" s="4"/>
      <c r="G303" s="21"/>
      <c r="H303" s="3"/>
    </row>
    <row r="304" spans="1:8" x14ac:dyDescent="0.2">
      <c r="A304" s="15"/>
      <c r="B304" s="30"/>
      <c r="C304" s="16"/>
      <c r="D304" s="16"/>
      <c r="E304" s="4"/>
      <c r="F304" s="4"/>
      <c r="G304" s="21"/>
      <c r="H304" s="3"/>
    </row>
    <row r="305" spans="1:8" x14ac:dyDescent="0.2">
      <c r="A305" s="28"/>
      <c r="B305" s="63"/>
      <c r="C305" s="63"/>
      <c r="D305" s="27"/>
      <c r="E305" s="27"/>
      <c r="F305" s="27"/>
      <c r="G305" s="20"/>
      <c r="H305" s="3"/>
    </row>
    <row r="306" spans="1:8" x14ac:dyDescent="0.2">
      <c r="A306" s="15"/>
      <c r="B306" s="16"/>
      <c r="E306" s="4"/>
      <c r="F306" s="4"/>
      <c r="G306" s="21"/>
      <c r="H306" s="3"/>
    </row>
    <row r="307" spans="1:8" x14ac:dyDescent="0.2">
      <c r="A307" s="15"/>
      <c r="C307" s="16"/>
      <c r="D307" s="16"/>
      <c r="E307" s="15"/>
      <c r="F307" s="15"/>
      <c r="G307" s="21"/>
      <c r="H307" s="3"/>
    </row>
    <row r="308" spans="1:8" x14ac:dyDescent="0.2">
      <c r="A308" s="15"/>
      <c r="B308" s="16"/>
      <c r="C308" s="16"/>
      <c r="D308" s="16"/>
      <c r="E308" s="15"/>
      <c r="F308" s="15"/>
      <c r="G308" s="21"/>
      <c r="H308" s="3"/>
    </row>
    <row r="309" spans="1:8" x14ac:dyDescent="0.2">
      <c r="A309" s="15"/>
      <c r="B309" s="16"/>
      <c r="C309" s="16"/>
      <c r="D309" s="16"/>
      <c r="E309" s="4"/>
      <c r="F309" s="36"/>
      <c r="G309" s="21"/>
      <c r="H309" s="3"/>
    </row>
    <row r="310" spans="1:8" x14ac:dyDescent="0.2">
      <c r="A310" s="26"/>
      <c r="B310" s="17"/>
      <c r="C310" s="17"/>
      <c r="D310" s="16"/>
      <c r="E310" s="15"/>
      <c r="F310" s="26"/>
      <c r="G310" s="21"/>
      <c r="H310" s="3"/>
    </row>
    <row r="311" spans="1:8" x14ac:dyDescent="0.2">
      <c r="A311" s="15"/>
      <c r="B311" s="16"/>
      <c r="C311" s="16"/>
      <c r="D311" s="16"/>
      <c r="E311" s="15"/>
      <c r="F311" s="36"/>
      <c r="G311" s="21"/>
      <c r="H311" s="3"/>
    </row>
    <row r="312" spans="1:8" x14ac:dyDescent="0.2">
      <c r="A312" s="15"/>
      <c r="B312" s="16"/>
      <c r="C312" s="16"/>
      <c r="D312" s="16"/>
      <c r="E312" s="15"/>
      <c r="F312" s="36"/>
      <c r="G312" s="21"/>
      <c r="H312" s="3"/>
    </row>
    <row r="313" spans="1:8" x14ac:dyDescent="0.2">
      <c r="A313" s="4"/>
      <c r="B313" s="16"/>
      <c r="C313" s="16"/>
      <c r="D313" s="16"/>
      <c r="E313" s="15"/>
      <c r="F313" s="1"/>
      <c r="G313" s="21"/>
      <c r="H313" s="3"/>
    </row>
    <row r="314" spans="1:8" x14ac:dyDescent="0.2">
      <c r="A314" s="4"/>
      <c r="B314" s="16"/>
      <c r="C314" s="16"/>
      <c r="D314" s="16"/>
      <c r="E314" s="15"/>
      <c r="F314" s="1"/>
      <c r="G314" s="21"/>
      <c r="H314" s="3"/>
    </row>
    <row r="315" spans="1:8" x14ac:dyDescent="0.2">
      <c r="A315" s="4"/>
      <c r="B315" s="16"/>
      <c r="C315" s="16"/>
      <c r="D315" s="16"/>
      <c r="E315" s="15"/>
      <c r="F315" s="1"/>
      <c r="G315" s="21"/>
      <c r="H315" s="3"/>
    </row>
    <row r="316" spans="1:8" x14ac:dyDescent="0.2">
      <c r="A316" s="29"/>
      <c r="B316" s="30"/>
      <c r="C316" s="30"/>
      <c r="D316" s="16"/>
      <c r="E316" s="29"/>
      <c r="F316" s="37"/>
      <c r="G316" s="21"/>
      <c r="H316" s="3"/>
    </row>
    <row r="317" spans="1:8" x14ac:dyDescent="0.2">
      <c r="A317" s="29"/>
      <c r="B317" s="30"/>
      <c r="C317" s="30"/>
      <c r="D317" s="16"/>
      <c r="E317" s="29"/>
      <c r="F317" s="37"/>
      <c r="G317" s="21"/>
      <c r="H317" s="3"/>
    </row>
    <row r="318" spans="1:8" x14ac:dyDescent="0.2">
      <c r="A318" s="29"/>
      <c r="B318" s="30"/>
      <c r="C318" s="30"/>
      <c r="D318" s="16"/>
      <c r="E318" s="29"/>
      <c r="F318" s="37"/>
      <c r="G318" s="21"/>
      <c r="H318" s="3"/>
    </row>
    <row r="319" spans="1:8" x14ac:dyDescent="0.2">
      <c r="A319" s="4"/>
      <c r="B319" s="30"/>
      <c r="D319" s="16"/>
      <c r="E319" s="29"/>
      <c r="F319" s="1"/>
      <c r="G319" s="3"/>
      <c r="H319" s="3"/>
    </row>
    <row r="320" spans="1:8" x14ac:dyDescent="0.2">
      <c r="A320" s="4"/>
      <c r="B320" s="30"/>
      <c r="D320" s="16"/>
      <c r="E320" s="29"/>
      <c r="F320" s="1"/>
      <c r="G320" s="3"/>
      <c r="H320" s="3"/>
    </row>
    <row r="321" spans="1:8" x14ac:dyDescent="0.2">
      <c r="A321" s="4"/>
      <c r="G321" s="3"/>
      <c r="H321" s="3"/>
    </row>
  </sheetData>
  <mergeCells count="36">
    <mergeCell ref="B134:C134"/>
    <mergeCell ref="B141:C141"/>
    <mergeCell ref="B148:C148"/>
    <mergeCell ref="B155:C155"/>
    <mergeCell ref="B162:C162"/>
    <mergeCell ref="B78:C78"/>
    <mergeCell ref="B85:C85"/>
    <mergeCell ref="B127:C127"/>
    <mergeCell ref="B92:C92"/>
    <mergeCell ref="B99:C99"/>
    <mergeCell ref="B105:C105"/>
    <mergeCell ref="B106:C106"/>
    <mergeCell ref="B120:C120"/>
    <mergeCell ref="B289:C289"/>
    <mergeCell ref="B305:C305"/>
    <mergeCell ref="B177:C177"/>
    <mergeCell ref="B209:C209"/>
    <mergeCell ref="B241:C241"/>
    <mergeCell ref="B257:C257"/>
    <mergeCell ref="B273:C273"/>
    <mergeCell ref="B1:C1"/>
    <mergeCell ref="B193:C193"/>
    <mergeCell ref="B225:C225"/>
    <mergeCell ref="B49:C49"/>
    <mergeCell ref="B113:C113"/>
    <mergeCell ref="B8:C8"/>
    <mergeCell ref="B15:C15"/>
    <mergeCell ref="B22:C22"/>
    <mergeCell ref="B29:C29"/>
    <mergeCell ref="B36:C36"/>
    <mergeCell ref="B43:C43"/>
    <mergeCell ref="B50:C50"/>
    <mergeCell ref="B57:C57"/>
    <mergeCell ref="B64:C64"/>
    <mergeCell ref="B71:C71"/>
    <mergeCell ref="B77:C77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10D40-A0F0-F947-8ED7-257928757B1D}">
  <dimension ref="A1:G43"/>
  <sheetViews>
    <sheetView topLeftCell="A15" workbookViewId="0">
      <selection activeCell="F36" sqref="F36"/>
    </sheetView>
  </sheetViews>
  <sheetFormatPr baseColWidth="10" defaultRowHeight="16" x14ac:dyDescent="0.2"/>
  <cols>
    <col min="1" max="1" width="19" customWidth="1"/>
  </cols>
  <sheetData>
    <row r="1" spans="1:7" ht="51" x14ac:dyDescent="0.2">
      <c r="A1" s="2" t="s">
        <v>38</v>
      </c>
      <c r="B1" s="63" t="s">
        <v>0</v>
      </c>
      <c r="C1" s="63"/>
      <c r="D1" s="46" t="s">
        <v>1</v>
      </c>
      <c r="E1" s="46" t="s">
        <v>4</v>
      </c>
      <c r="F1" s="46" t="s">
        <v>33</v>
      </c>
      <c r="G1" s="20" t="s">
        <v>34</v>
      </c>
    </row>
    <row r="2" spans="1:7" x14ac:dyDescent="0.2">
      <c r="A2" s="15" t="s">
        <v>25</v>
      </c>
      <c r="B2">
        <v>37</v>
      </c>
      <c r="C2">
        <v>37</v>
      </c>
      <c r="D2">
        <f>AVERAGE(B2:C2)</f>
        <v>37</v>
      </c>
      <c r="E2" s="4">
        <v>100</v>
      </c>
      <c r="F2" s="4">
        <f>2032.9-1845.4</f>
        <v>187.5</v>
      </c>
      <c r="G2" s="21">
        <f>LOG10(D2*100*E2/F2*1000)</f>
        <v>6.2952004520032574</v>
      </c>
    </row>
    <row r="3" spans="1:7" x14ac:dyDescent="0.2">
      <c r="A3" s="15" t="s">
        <v>26</v>
      </c>
      <c r="B3" s="16">
        <v>10</v>
      </c>
      <c r="C3" s="16">
        <v>9</v>
      </c>
      <c r="D3" s="16">
        <f t="shared" ref="D3:D10" si="0">AVERAGE(B3:C3)</f>
        <v>9.5</v>
      </c>
      <c r="E3" s="15">
        <v>1000</v>
      </c>
      <c r="F3" s="15">
        <f>3234-1832</f>
        <v>1402</v>
      </c>
      <c r="G3" s="21">
        <f>LOG10(D3*100*E3/F3*1000)</f>
        <v>5.8309755916582082</v>
      </c>
    </row>
    <row r="4" spans="1:7" x14ac:dyDescent="0.2">
      <c r="A4" s="15" t="s">
        <v>27</v>
      </c>
      <c r="B4" s="16">
        <v>42</v>
      </c>
      <c r="C4" s="16">
        <v>54</v>
      </c>
      <c r="D4" s="16">
        <f t="shared" si="0"/>
        <v>48</v>
      </c>
      <c r="E4" s="15">
        <v>10000</v>
      </c>
      <c r="F4" s="15">
        <f>2792.3-1757</f>
        <v>1035.3000000000002</v>
      </c>
      <c r="G4" s="21">
        <f t="shared" ref="G4:G10" si="1">LOG10(D4*100*E4/F4*1000)</f>
        <v>7.6661750233644375</v>
      </c>
    </row>
    <row r="5" spans="1:7" x14ac:dyDescent="0.2">
      <c r="A5" s="15" t="s">
        <v>28</v>
      </c>
      <c r="B5" s="16">
        <v>8</v>
      </c>
      <c r="C5" s="16">
        <v>8</v>
      </c>
      <c r="D5" s="16">
        <f t="shared" si="0"/>
        <v>8</v>
      </c>
      <c r="E5" s="15">
        <v>100</v>
      </c>
      <c r="F5" s="15">
        <f>1864.2-1768.7</f>
        <v>95.5</v>
      </c>
      <c r="G5" s="21">
        <f t="shared" si="1"/>
        <v>5.9230866154081969</v>
      </c>
    </row>
    <row r="6" spans="1:7" ht="17" x14ac:dyDescent="0.2">
      <c r="A6" s="26" t="s">
        <v>29</v>
      </c>
      <c r="B6" s="17">
        <v>42</v>
      </c>
      <c r="C6" s="17">
        <v>50</v>
      </c>
      <c r="D6" s="16">
        <f t="shared" si="0"/>
        <v>46</v>
      </c>
      <c r="E6" s="26">
        <v>1000</v>
      </c>
      <c r="F6" s="26">
        <f>1959.3-1852</f>
        <v>107.29999999999995</v>
      </c>
      <c r="G6" s="21">
        <f t="shared" si="1"/>
        <v>7.6321581097156228</v>
      </c>
    </row>
    <row r="7" spans="1:7" x14ac:dyDescent="0.2">
      <c r="A7" s="15" t="s">
        <v>30</v>
      </c>
      <c r="B7" s="16">
        <v>0</v>
      </c>
      <c r="C7" s="16">
        <v>0</v>
      </c>
      <c r="D7" s="16">
        <f t="shared" si="0"/>
        <v>0</v>
      </c>
      <c r="E7" s="15">
        <v>1</v>
      </c>
      <c r="F7" s="4">
        <f>1874.6-1794.4</f>
        <v>80.199999999999818</v>
      </c>
      <c r="G7" s="21" t="e">
        <f t="shared" si="1"/>
        <v>#NUM!</v>
      </c>
    </row>
    <row r="8" spans="1:7" x14ac:dyDescent="0.2">
      <c r="A8" s="15" t="s">
        <v>31</v>
      </c>
      <c r="B8" s="16">
        <v>0</v>
      </c>
      <c r="C8" s="16">
        <v>0</v>
      </c>
      <c r="D8" s="16">
        <f t="shared" si="0"/>
        <v>0</v>
      </c>
      <c r="E8" s="15">
        <v>1</v>
      </c>
      <c r="F8" s="4">
        <f>2435.1-1752.1</f>
        <v>683</v>
      </c>
      <c r="G8" s="21" t="e">
        <f t="shared" si="1"/>
        <v>#NUM!</v>
      </c>
    </row>
    <row r="9" spans="1:7" x14ac:dyDescent="0.2">
      <c r="A9" s="15" t="s">
        <v>32</v>
      </c>
      <c r="B9" s="16">
        <v>0</v>
      </c>
      <c r="C9" s="16">
        <v>0</v>
      </c>
      <c r="D9" s="16">
        <f t="shared" si="0"/>
        <v>0</v>
      </c>
      <c r="E9" s="15">
        <v>1</v>
      </c>
      <c r="F9" s="4">
        <f>1890.3-1879.4</f>
        <v>10.899999999999864</v>
      </c>
      <c r="G9" s="21" t="e">
        <f t="shared" si="1"/>
        <v>#NUM!</v>
      </c>
    </row>
    <row r="10" spans="1:7" x14ac:dyDescent="0.2">
      <c r="A10" s="15" t="s">
        <v>35</v>
      </c>
      <c r="B10" s="16">
        <v>0</v>
      </c>
      <c r="C10" s="16">
        <v>0</v>
      </c>
      <c r="D10" s="16">
        <f t="shared" si="0"/>
        <v>0</v>
      </c>
      <c r="E10" s="15">
        <v>1</v>
      </c>
      <c r="F10" s="4">
        <f>2041.6-1894.6</f>
        <v>147</v>
      </c>
      <c r="G10" s="21" t="e">
        <f t="shared" si="1"/>
        <v>#NUM!</v>
      </c>
    </row>
    <row r="11" spans="1:7" x14ac:dyDescent="0.2">
      <c r="A11" s="15"/>
      <c r="B11" s="16"/>
      <c r="C11" s="16"/>
      <c r="D11" s="16"/>
      <c r="E11" s="15"/>
      <c r="F11" s="4"/>
      <c r="G11" s="21"/>
    </row>
    <row r="12" spans="1:7" ht="51" x14ac:dyDescent="0.2">
      <c r="A12" s="2" t="s">
        <v>64</v>
      </c>
      <c r="B12" s="63" t="s">
        <v>0</v>
      </c>
      <c r="C12" s="63"/>
      <c r="D12" s="46" t="s">
        <v>1</v>
      </c>
      <c r="E12" s="46" t="s">
        <v>4</v>
      </c>
      <c r="F12" s="46" t="s">
        <v>33</v>
      </c>
      <c r="G12" s="20" t="s">
        <v>34</v>
      </c>
    </row>
    <row r="13" spans="1:7" x14ac:dyDescent="0.2">
      <c r="A13" s="15" t="s">
        <v>25</v>
      </c>
      <c r="B13" s="16">
        <v>20</v>
      </c>
      <c r="C13" s="16">
        <v>17</v>
      </c>
      <c r="D13">
        <f>AVERAGE(B13:C13)</f>
        <v>18.5</v>
      </c>
      <c r="E13" s="4">
        <v>10</v>
      </c>
      <c r="F13" s="4">
        <f>1945.8-1728</f>
        <v>217.79999999999995</v>
      </c>
      <c r="G13" s="21">
        <f>LOG10(D13*100*E13/F13*1000)</f>
        <v>4.9291138529832574</v>
      </c>
    </row>
    <row r="14" spans="1:7" x14ac:dyDescent="0.2">
      <c r="A14" s="15" t="s">
        <v>26</v>
      </c>
      <c r="B14" s="16">
        <v>27</v>
      </c>
      <c r="C14" s="16">
        <v>40</v>
      </c>
      <c r="D14" s="16">
        <f t="shared" ref="D14:D21" si="2">AVERAGE(B14:C14)</f>
        <v>33.5</v>
      </c>
      <c r="E14" s="15">
        <v>100</v>
      </c>
      <c r="F14" s="15">
        <f>3544.4-1828.6</f>
        <v>1715.8000000000002</v>
      </c>
      <c r="G14" s="21">
        <f>LOG10(D14*100*E14/F14*1000)</f>
        <v>5.2905781435465835</v>
      </c>
    </row>
    <row r="15" spans="1:7" x14ac:dyDescent="0.2">
      <c r="A15" s="15" t="s">
        <v>27</v>
      </c>
      <c r="B15" s="16">
        <v>16</v>
      </c>
      <c r="C15" s="16">
        <v>18</v>
      </c>
      <c r="D15" s="16">
        <f t="shared" si="2"/>
        <v>17</v>
      </c>
      <c r="E15" s="15">
        <v>1000</v>
      </c>
      <c r="F15" s="15">
        <f>2952.9-1889.4</f>
        <v>1063.5</v>
      </c>
      <c r="G15" s="21">
        <f t="shared" ref="G15:G21" si="3">LOG10(D15*100*E15/F15*1000)</f>
        <v>6.2037114271395257</v>
      </c>
    </row>
    <row r="16" spans="1:7" x14ac:dyDescent="0.2">
      <c r="A16" s="15" t="s">
        <v>28</v>
      </c>
      <c r="B16" s="16">
        <v>36</v>
      </c>
      <c r="C16" s="16">
        <v>31</v>
      </c>
      <c r="D16" s="16">
        <f t="shared" si="2"/>
        <v>33.5</v>
      </c>
      <c r="E16" s="15">
        <v>1</v>
      </c>
      <c r="F16" s="15">
        <f>1951.1-1814.3</f>
        <v>136.79999999999995</v>
      </c>
      <c r="G16" s="21">
        <f t="shared" si="3"/>
        <v>4.3889587096527478</v>
      </c>
    </row>
    <row r="17" spans="1:7" ht="17" x14ac:dyDescent="0.2">
      <c r="A17" s="26" t="s">
        <v>29</v>
      </c>
      <c r="B17" s="17">
        <v>18</v>
      </c>
      <c r="C17" s="17">
        <v>16</v>
      </c>
      <c r="D17" s="16">
        <f t="shared" si="2"/>
        <v>17</v>
      </c>
      <c r="E17" s="26">
        <v>100</v>
      </c>
      <c r="F17" s="26">
        <f>2010.6-1828.6</f>
        <v>182</v>
      </c>
      <c r="G17" s="21">
        <f t="shared" si="3"/>
        <v>5.970377533393199</v>
      </c>
    </row>
    <row r="18" spans="1:7" x14ac:dyDescent="0.2">
      <c r="A18" s="15" t="s">
        <v>30</v>
      </c>
      <c r="B18" s="16">
        <v>0</v>
      </c>
      <c r="C18" s="16">
        <v>0</v>
      </c>
      <c r="D18" s="16">
        <f t="shared" si="2"/>
        <v>0</v>
      </c>
      <c r="E18" s="15">
        <v>1</v>
      </c>
      <c r="F18" s="4">
        <f>1999.3-1905.6</f>
        <v>93.700000000000045</v>
      </c>
      <c r="G18" s="21" t="e">
        <f t="shared" si="3"/>
        <v>#NUM!</v>
      </c>
    </row>
    <row r="19" spans="1:7" x14ac:dyDescent="0.2">
      <c r="A19" s="15" t="s">
        <v>31</v>
      </c>
      <c r="B19" s="16">
        <v>0</v>
      </c>
      <c r="C19" s="16">
        <v>0</v>
      </c>
      <c r="D19" s="16">
        <f t="shared" si="2"/>
        <v>0</v>
      </c>
      <c r="E19" s="15">
        <v>1</v>
      </c>
      <c r="F19" s="4">
        <f>2678-1753</f>
        <v>925</v>
      </c>
      <c r="G19" s="21" t="e">
        <f t="shared" si="3"/>
        <v>#NUM!</v>
      </c>
    </row>
    <row r="20" spans="1:7" x14ac:dyDescent="0.2">
      <c r="A20" s="15" t="s">
        <v>32</v>
      </c>
      <c r="B20" s="16">
        <v>0</v>
      </c>
      <c r="C20" s="16">
        <v>0</v>
      </c>
      <c r="D20" s="16">
        <f t="shared" si="2"/>
        <v>0</v>
      </c>
      <c r="E20" s="15">
        <v>1</v>
      </c>
      <c r="F20" s="4">
        <f>1850.7-1798.1</f>
        <v>52.600000000000136</v>
      </c>
      <c r="G20" s="21" t="e">
        <f t="shared" si="3"/>
        <v>#NUM!</v>
      </c>
    </row>
    <row r="21" spans="1:7" x14ac:dyDescent="0.2">
      <c r="A21" s="15" t="s">
        <v>35</v>
      </c>
      <c r="B21" s="16">
        <v>0</v>
      </c>
      <c r="C21" s="16">
        <v>0</v>
      </c>
      <c r="D21" s="16">
        <f t="shared" si="2"/>
        <v>0</v>
      </c>
      <c r="E21" s="15">
        <v>1</v>
      </c>
      <c r="F21" s="4">
        <f>2070.5-1943.3</f>
        <v>127.20000000000005</v>
      </c>
      <c r="G21" s="21" t="e">
        <f t="shared" si="3"/>
        <v>#NUM!</v>
      </c>
    </row>
    <row r="22" spans="1:7" x14ac:dyDescent="0.2">
      <c r="A22" s="15"/>
      <c r="D22" s="16"/>
      <c r="F22" s="4"/>
      <c r="G22" s="21"/>
    </row>
    <row r="23" spans="1:7" ht="51" x14ac:dyDescent="0.2">
      <c r="A23" s="2" t="s">
        <v>41</v>
      </c>
      <c r="B23" s="63" t="s">
        <v>0</v>
      </c>
      <c r="C23" s="63"/>
      <c r="D23" s="46" t="s">
        <v>1</v>
      </c>
      <c r="E23" s="46" t="s">
        <v>4</v>
      </c>
      <c r="F23" s="46" t="s">
        <v>33</v>
      </c>
      <c r="G23" s="20" t="s">
        <v>34</v>
      </c>
    </row>
    <row r="24" spans="1:7" x14ac:dyDescent="0.2">
      <c r="A24" s="15" t="s">
        <v>25</v>
      </c>
      <c r="B24">
        <v>31</v>
      </c>
      <c r="C24">
        <v>34</v>
      </c>
      <c r="D24">
        <f>AVERAGE(B24:C24)</f>
        <v>32.5</v>
      </c>
      <c r="E24" s="4">
        <v>100</v>
      </c>
      <c r="F24" s="4">
        <f>2012.9-1800.7</f>
        <v>212.20000000000005</v>
      </c>
      <c r="G24" s="21">
        <f>LOG10(D24*100*E24/F24*1000)</f>
        <v>6.1851379814135523</v>
      </c>
    </row>
    <row r="25" spans="1:7" x14ac:dyDescent="0.2">
      <c r="A25" s="15" t="s">
        <v>26</v>
      </c>
      <c r="B25" s="16">
        <v>32</v>
      </c>
      <c r="C25" s="16">
        <v>34</v>
      </c>
      <c r="D25" s="16">
        <f t="shared" ref="D25:D32" si="4">AVERAGE(B25:C25)</f>
        <v>33</v>
      </c>
      <c r="E25" s="15">
        <v>100</v>
      </c>
      <c r="F25" s="15">
        <f>3407.9-1842.9</f>
        <v>1565</v>
      </c>
      <c r="G25" s="21">
        <f>LOG10(D25*100*E25/F25*1000)</f>
        <v>5.32399959799542</v>
      </c>
    </row>
    <row r="26" spans="1:7" x14ac:dyDescent="0.2">
      <c r="A26" s="15" t="s">
        <v>27</v>
      </c>
      <c r="B26" s="16">
        <v>15</v>
      </c>
      <c r="C26" s="16">
        <v>14</v>
      </c>
      <c r="D26" s="16">
        <f t="shared" si="4"/>
        <v>14.5</v>
      </c>
      <c r="E26" s="15">
        <v>10000</v>
      </c>
      <c r="F26" s="15">
        <f>2795.7-1730.3</f>
        <v>1065.3999999999999</v>
      </c>
      <c r="G26" s="21">
        <f t="shared" ref="G26:G32" si="5">LOG10(D26*100*E26/F26*1000)</f>
        <v>7.1338553097861643</v>
      </c>
    </row>
    <row r="27" spans="1:7" x14ac:dyDescent="0.2">
      <c r="A27" s="15" t="s">
        <v>28</v>
      </c>
      <c r="B27" s="16">
        <v>8</v>
      </c>
      <c r="C27" s="16">
        <v>2</v>
      </c>
      <c r="D27" s="16">
        <f t="shared" si="4"/>
        <v>5</v>
      </c>
      <c r="E27" s="15">
        <v>100</v>
      </c>
      <c r="F27" s="15">
        <f>1897.4-1767.4</f>
        <v>130</v>
      </c>
      <c r="G27" s="21">
        <f t="shared" si="5"/>
        <v>5.5850266520291818</v>
      </c>
    </row>
    <row r="28" spans="1:7" ht="17" x14ac:dyDescent="0.2">
      <c r="A28" s="26" t="s">
        <v>29</v>
      </c>
      <c r="B28" s="17">
        <v>33</v>
      </c>
      <c r="C28" s="17">
        <v>35</v>
      </c>
      <c r="D28" s="16">
        <f t="shared" si="4"/>
        <v>34</v>
      </c>
      <c r="E28" s="26">
        <v>1000</v>
      </c>
      <c r="F28" s="26">
        <f>1991.2-1829.2</f>
        <v>162</v>
      </c>
      <c r="G28" s="21">
        <f t="shared" si="5"/>
        <v>7.3219639024996246</v>
      </c>
    </row>
    <row r="29" spans="1:7" x14ac:dyDescent="0.2">
      <c r="A29" s="15" t="s">
        <v>30</v>
      </c>
      <c r="B29" s="16">
        <v>0</v>
      </c>
      <c r="C29" s="16">
        <v>0</v>
      </c>
      <c r="D29" s="16">
        <f t="shared" si="4"/>
        <v>0</v>
      </c>
      <c r="E29" s="15">
        <v>1</v>
      </c>
      <c r="F29" s="4">
        <f>2043.8-1956.9</f>
        <v>86.899999999999864</v>
      </c>
      <c r="G29" s="21" t="e">
        <f t="shared" si="5"/>
        <v>#NUM!</v>
      </c>
    </row>
    <row r="30" spans="1:7" x14ac:dyDescent="0.2">
      <c r="A30" s="15" t="s">
        <v>31</v>
      </c>
      <c r="B30" s="16">
        <v>0</v>
      </c>
      <c r="C30" s="16">
        <v>0</v>
      </c>
      <c r="D30" s="16">
        <f t="shared" si="4"/>
        <v>0</v>
      </c>
      <c r="E30" s="15">
        <v>1</v>
      </c>
      <c r="F30" s="4">
        <f>2422.2-1874.2</f>
        <v>547.99999999999977</v>
      </c>
      <c r="G30" s="21" t="e">
        <f t="shared" si="5"/>
        <v>#NUM!</v>
      </c>
    </row>
    <row r="31" spans="1:7" x14ac:dyDescent="0.2">
      <c r="A31" s="15" t="s">
        <v>32</v>
      </c>
      <c r="B31" s="16">
        <v>0</v>
      </c>
      <c r="C31" s="16">
        <v>0</v>
      </c>
      <c r="D31" s="16">
        <f t="shared" si="4"/>
        <v>0</v>
      </c>
      <c r="E31" s="15">
        <v>1</v>
      </c>
      <c r="F31" s="4">
        <f>1776.8-1723.2</f>
        <v>53.599999999999909</v>
      </c>
      <c r="G31" s="21" t="e">
        <f t="shared" si="5"/>
        <v>#NUM!</v>
      </c>
    </row>
    <row r="32" spans="1:7" x14ac:dyDescent="0.2">
      <c r="A32" s="15" t="s">
        <v>35</v>
      </c>
      <c r="B32" s="16">
        <v>19</v>
      </c>
      <c r="C32" s="16">
        <v>9</v>
      </c>
      <c r="D32" s="16">
        <f t="shared" si="4"/>
        <v>14</v>
      </c>
      <c r="E32" s="15">
        <v>1</v>
      </c>
      <c r="F32" s="4">
        <f>1901.8-1751.6</f>
        <v>150.20000000000005</v>
      </c>
      <c r="G32" s="21">
        <f t="shared" si="5"/>
        <v>3.9694581030100884</v>
      </c>
    </row>
    <row r="33" spans="1:7" x14ac:dyDescent="0.2">
      <c r="A33" s="15"/>
      <c r="D33" s="16"/>
      <c r="F33" s="4"/>
      <c r="G33" s="21"/>
    </row>
    <row r="34" spans="1:7" ht="51" x14ac:dyDescent="0.2">
      <c r="A34" s="2" t="s">
        <v>42</v>
      </c>
      <c r="B34" s="63" t="s">
        <v>0</v>
      </c>
      <c r="C34" s="63"/>
      <c r="D34" s="46" t="s">
        <v>1</v>
      </c>
      <c r="E34" s="46" t="s">
        <v>4</v>
      </c>
      <c r="F34" s="46" t="s">
        <v>33</v>
      </c>
      <c r="G34" s="20" t="s">
        <v>34</v>
      </c>
    </row>
    <row r="35" spans="1:7" x14ac:dyDescent="0.2">
      <c r="A35" s="15" t="s">
        <v>25</v>
      </c>
      <c r="B35">
        <v>46</v>
      </c>
      <c r="C35">
        <v>37</v>
      </c>
      <c r="D35">
        <f>AVERAGE(B35:C35)</f>
        <v>41.5</v>
      </c>
      <c r="E35" s="4">
        <v>1</v>
      </c>
      <c r="F35" s="4">
        <f>2076.7-1810.3</f>
        <v>266.39999999999986</v>
      </c>
      <c r="G35" s="21">
        <f>LOG10(D35*100*E35/F35*1000)</f>
        <v>4.1925138762138294</v>
      </c>
    </row>
    <row r="36" spans="1:7" x14ac:dyDescent="0.2">
      <c r="A36" s="15" t="s">
        <v>26</v>
      </c>
      <c r="B36" s="16">
        <v>7</v>
      </c>
      <c r="C36" s="16">
        <v>2</v>
      </c>
      <c r="D36" s="16">
        <f t="shared" ref="D36:D43" si="6">AVERAGE(B36:C36)</f>
        <v>4.5</v>
      </c>
      <c r="E36" s="15">
        <v>1000</v>
      </c>
      <c r="F36" s="15">
        <f>3444.8-1847</f>
        <v>1597.8000000000002</v>
      </c>
      <c r="G36" s="21">
        <f>LOG10(D36*100*E36/F36*1000)</f>
        <v>5.4496900969527591</v>
      </c>
    </row>
    <row r="37" spans="1:7" x14ac:dyDescent="0.2">
      <c r="A37" s="15" t="s">
        <v>27</v>
      </c>
      <c r="B37" s="16">
        <v>8</v>
      </c>
      <c r="C37" s="16">
        <v>16</v>
      </c>
      <c r="D37" s="16">
        <f t="shared" si="6"/>
        <v>12</v>
      </c>
      <c r="E37" s="15">
        <v>10000</v>
      </c>
      <c r="F37" s="15">
        <f>2791.2-1778.9</f>
        <v>1012.2999999999997</v>
      </c>
      <c r="G37" s="21">
        <f t="shared" ref="G37:G43" si="7">LOG10(D37*100*E37/F37*1000)</f>
        <v>7.0738720091991087</v>
      </c>
    </row>
    <row r="38" spans="1:7" x14ac:dyDescent="0.2">
      <c r="A38" s="15" t="s">
        <v>28</v>
      </c>
      <c r="B38" s="16">
        <v>25</v>
      </c>
      <c r="C38" s="16">
        <v>27</v>
      </c>
      <c r="D38" s="16">
        <f t="shared" si="6"/>
        <v>26</v>
      </c>
      <c r="E38" s="15">
        <v>10</v>
      </c>
      <c r="F38" s="15">
        <f>1922-1812.9</f>
        <v>109.09999999999991</v>
      </c>
      <c r="G38" s="21">
        <f t="shared" si="7"/>
        <v>5.3771485973824769</v>
      </c>
    </row>
    <row r="39" spans="1:7" ht="17" x14ac:dyDescent="0.2">
      <c r="A39" s="26" t="s">
        <v>29</v>
      </c>
      <c r="B39" s="17">
        <v>33</v>
      </c>
      <c r="C39" s="17">
        <v>18</v>
      </c>
      <c r="D39" s="16">
        <f t="shared" si="6"/>
        <v>25.5</v>
      </c>
      <c r="E39" s="26">
        <v>1000</v>
      </c>
      <c r="F39" s="26">
        <f>1939.3-1819.6</f>
        <v>119.70000000000005</v>
      </c>
      <c r="G39" s="21">
        <f t="shared" si="7"/>
        <v>7.3284460300275445</v>
      </c>
    </row>
    <row r="40" spans="1:7" x14ac:dyDescent="0.2">
      <c r="A40" s="15" t="s">
        <v>30</v>
      </c>
      <c r="B40" s="16">
        <v>0</v>
      </c>
      <c r="C40" s="16">
        <v>0</v>
      </c>
      <c r="D40" s="16">
        <f t="shared" si="6"/>
        <v>0</v>
      </c>
      <c r="E40" s="15">
        <v>1</v>
      </c>
      <c r="F40" s="4">
        <f>1905.9-1840.2</f>
        <v>65.700000000000045</v>
      </c>
      <c r="G40" s="21" t="e">
        <f t="shared" si="7"/>
        <v>#NUM!</v>
      </c>
    </row>
    <row r="41" spans="1:7" x14ac:dyDescent="0.2">
      <c r="A41" s="15" t="s">
        <v>31</v>
      </c>
      <c r="B41" s="16">
        <v>0</v>
      </c>
      <c r="C41" s="16">
        <v>0</v>
      </c>
      <c r="D41" s="16">
        <f t="shared" si="6"/>
        <v>0</v>
      </c>
      <c r="E41" s="15">
        <v>1</v>
      </c>
      <c r="F41" s="4">
        <f>2461.5-1699</f>
        <v>762.5</v>
      </c>
      <c r="G41" s="21" t="e">
        <f t="shared" si="7"/>
        <v>#NUM!</v>
      </c>
    </row>
    <row r="42" spans="1:7" x14ac:dyDescent="0.2">
      <c r="A42" s="15" t="s">
        <v>32</v>
      </c>
      <c r="B42" s="16">
        <v>0</v>
      </c>
      <c r="C42" s="16">
        <v>0</v>
      </c>
      <c r="D42" s="16">
        <f t="shared" si="6"/>
        <v>0</v>
      </c>
      <c r="E42" s="15">
        <v>1</v>
      </c>
      <c r="F42" s="4">
        <f>2016.1-1996.2</f>
        <v>19.899999999999864</v>
      </c>
      <c r="G42" s="21" t="e">
        <f t="shared" si="7"/>
        <v>#NUM!</v>
      </c>
    </row>
    <row r="43" spans="1:7" x14ac:dyDescent="0.2">
      <c r="A43" s="15" t="s">
        <v>35</v>
      </c>
      <c r="B43" s="16">
        <v>0</v>
      </c>
      <c r="C43" s="16">
        <v>0</v>
      </c>
      <c r="D43" s="16">
        <f t="shared" si="6"/>
        <v>0</v>
      </c>
      <c r="E43" s="15">
        <v>1</v>
      </c>
      <c r="F43" s="4">
        <f>1920.1-1769.6</f>
        <v>150.5</v>
      </c>
      <c r="G43" s="21" t="e">
        <f t="shared" si="7"/>
        <v>#NUM!</v>
      </c>
    </row>
  </sheetData>
  <mergeCells count="4">
    <mergeCell ref="B1:C1"/>
    <mergeCell ref="B12:C12"/>
    <mergeCell ref="B23:C23"/>
    <mergeCell ref="B34:C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dose</vt:lpstr>
      <vt:lpstr>feces pos ttmnt - PA</vt:lpstr>
      <vt:lpstr>day 3 organs - 10^7.5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2021-08-30T20:42:18Z</dcterms:modified>
</cp:coreProperties>
</file>