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2/Mouse experiments/"/>
    </mc:Choice>
  </mc:AlternateContent>
  <xr:revisionPtr revIDLastSave="0" documentId="13_ncr:1_{1924C902-CF26-FB4B-803C-1AC422914603}" xr6:coauthVersionLast="47" xr6:coauthVersionMax="47" xr10:uidLastSave="{00000000-0000-0000-0000-000000000000}"/>
  <bookViews>
    <workbookView xWindow="33700" yWindow="520" windowWidth="28800" windowHeight="17500" activeTab="1" xr2:uid="{05D28018-5EC7-B748-ACA7-09DD0AD3B70C}"/>
  </bookViews>
  <sheets>
    <sheet name="dose" sheetId="4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64" i="5" l="1"/>
  <c r="F153" i="5"/>
  <c r="F142" i="5"/>
  <c r="F131" i="5"/>
  <c r="F120" i="5"/>
  <c r="F109" i="5"/>
  <c r="F98" i="5"/>
  <c r="F87" i="5"/>
  <c r="F76" i="5"/>
  <c r="F65" i="5"/>
  <c r="L54" i="5"/>
  <c r="N54" i="5" s="1"/>
  <c r="L43" i="5"/>
  <c r="N43" i="5" s="1"/>
  <c r="L32" i="5"/>
  <c r="N32" i="5" s="1"/>
  <c r="N21" i="5"/>
  <c r="L21" i="5"/>
  <c r="N10" i="5"/>
  <c r="H10" i="5"/>
  <c r="L10" i="5"/>
  <c r="F54" i="5"/>
  <c r="F43" i="5"/>
  <c r="F32" i="5"/>
  <c r="F21" i="5"/>
  <c r="D21" i="5"/>
  <c r="F10" i="5"/>
  <c r="F163" i="5"/>
  <c r="F162" i="5"/>
  <c r="F161" i="5"/>
  <c r="F160" i="5"/>
  <c r="F149" i="5"/>
  <c r="F152" i="5"/>
  <c r="F151" i="5"/>
  <c r="F150" i="5"/>
  <c r="F141" i="5"/>
  <c r="F140" i="5"/>
  <c r="F139" i="5"/>
  <c r="F138" i="5"/>
  <c r="F127" i="5"/>
  <c r="F130" i="5"/>
  <c r="F129" i="5"/>
  <c r="F128" i="5"/>
  <c r="F119" i="5"/>
  <c r="F118" i="5"/>
  <c r="H118" i="5" s="1"/>
  <c r="F117" i="5"/>
  <c r="F116" i="5"/>
  <c r="F105" i="5"/>
  <c r="F108" i="5"/>
  <c r="F107" i="5"/>
  <c r="F106" i="5"/>
  <c r="F97" i="5"/>
  <c r="F96" i="5"/>
  <c r="F95" i="5"/>
  <c r="F94" i="5"/>
  <c r="F83" i="5"/>
  <c r="F86" i="5"/>
  <c r="F85" i="5"/>
  <c r="F84" i="5"/>
  <c r="F75" i="5"/>
  <c r="F74" i="5"/>
  <c r="F73" i="5"/>
  <c r="F72" i="5"/>
  <c r="F61" i="5"/>
  <c r="F64" i="5"/>
  <c r="F63" i="5"/>
  <c r="F62" i="5"/>
  <c r="F53" i="5"/>
  <c r="F52" i="5"/>
  <c r="F51" i="5"/>
  <c r="F50" i="5"/>
  <c r="F39" i="5"/>
  <c r="F42" i="5"/>
  <c r="F41" i="5"/>
  <c r="F40" i="5"/>
  <c r="F31" i="5"/>
  <c r="F30" i="5"/>
  <c r="F29" i="5"/>
  <c r="F28" i="5"/>
  <c r="F17" i="5"/>
  <c r="F20" i="5"/>
  <c r="F19" i="5"/>
  <c r="F18" i="5"/>
  <c r="F9" i="5"/>
  <c r="F8" i="5"/>
  <c r="F7" i="5"/>
  <c r="F6" i="5"/>
  <c r="F159" i="5"/>
  <c r="F158" i="5"/>
  <c r="F157" i="5"/>
  <c r="F156" i="5"/>
  <c r="F148" i="5"/>
  <c r="F147" i="5"/>
  <c r="F146" i="5"/>
  <c r="F145" i="5"/>
  <c r="F137" i="5"/>
  <c r="F136" i="5"/>
  <c r="F135" i="5"/>
  <c r="F134" i="5"/>
  <c r="F126" i="5"/>
  <c r="F125" i="5"/>
  <c r="F124" i="5"/>
  <c r="F123" i="5"/>
  <c r="F115" i="5"/>
  <c r="F114" i="5"/>
  <c r="F113" i="5"/>
  <c r="F112" i="5"/>
  <c r="H101" i="5"/>
  <c r="H102" i="5"/>
  <c r="H103" i="5"/>
  <c r="F104" i="5"/>
  <c r="F103" i="5"/>
  <c r="F102" i="5"/>
  <c r="F101" i="5"/>
  <c r="F93" i="5"/>
  <c r="F92" i="5"/>
  <c r="F91" i="5"/>
  <c r="F90" i="5"/>
  <c r="F82" i="5"/>
  <c r="F81" i="5"/>
  <c r="F80" i="5"/>
  <c r="F79" i="5"/>
  <c r="F71" i="5"/>
  <c r="F70" i="5"/>
  <c r="F69" i="5"/>
  <c r="F68" i="5"/>
  <c r="F60" i="5"/>
  <c r="F59" i="5"/>
  <c r="F58" i="5"/>
  <c r="F57" i="5"/>
  <c r="F49" i="5"/>
  <c r="F48" i="5"/>
  <c r="F47" i="5"/>
  <c r="F46" i="5"/>
  <c r="F38" i="5"/>
  <c r="F37" i="5"/>
  <c r="F36" i="5"/>
  <c r="F35" i="5"/>
  <c r="F27" i="5"/>
  <c r="F26" i="5"/>
  <c r="F25" i="5"/>
  <c r="F24" i="5"/>
  <c r="F16" i="5"/>
  <c r="F15" i="5"/>
  <c r="F14" i="5"/>
  <c r="F13" i="5"/>
  <c r="F5" i="5"/>
  <c r="F4" i="5"/>
  <c r="F3" i="5"/>
  <c r="F2" i="5"/>
  <c r="D164" i="5"/>
  <c r="H164" i="5" s="1"/>
  <c r="D163" i="5"/>
  <c r="G163" i="5" s="1"/>
  <c r="H162" i="5"/>
  <c r="D162" i="5"/>
  <c r="G162" i="5" s="1"/>
  <c r="D161" i="5"/>
  <c r="H161" i="5" s="1"/>
  <c r="D160" i="5"/>
  <c r="H160" i="5" s="1"/>
  <c r="D159" i="5"/>
  <c r="G159" i="5" s="1"/>
  <c r="D158" i="5"/>
  <c r="H158" i="5" s="1"/>
  <c r="D157" i="5"/>
  <c r="H157" i="5" s="1"/>
  <c r="D156" i="5"/>
  <c r="H156" i="5" s="1"/>
  <c r="D153" i="5"/>
  <c r="G153" i="5" s="1"/>
  <c r="D152" i="5"/>
  <c r="H152" i="5" s="1"/>
  <c r="D151" i="5"/>
  <c r="H151" i="5" s="1"/>
  <c r="D150" i="5"/>
  <c r="H150" i="5" s="1"/>
  <c r="H149" i="5"/>
  <c r="D149" i="5"/>
  <c r="G149" i="5" s="1"/>
  <c r="G148" i="5"/>
  <c r="D148" i="5"/>
  <c r="H148" i="5" s="1"/>
  <c r="D147" i="5"/>
  <c r="H147" i="5" s="1"/>
  <c r="D146" i="5"/>
  <c r="H146" i="5" s="1"/>
  <c r="D145" i="5"/>
  <c r="G145" i="5" s="1"/>
  <c r="D142" i="5"/>
  <c r="H142" i="5" s="1"/>
  <c r="D141" i="5"/>
  <c r="H141" i="5" s="1"/>
  <c r="D140" i="5"/>
  <c r="H140" i="5" s="1"/>
  <c r="D139" i="5"/>
  <c r="G139" i="5" s="1"/>
  <c r="D138" i="5"/>
  <c r="H138" i="5" s="1"/>
  <c r="D137" i="5"/>
  <c r="H137" i="5" s="1"/>
  <c r="D136" i="5"/>
  <c r="H136" i="5" s="1"/>
  <c r="D135" i="5"/>
  <c r="G135" i="5" s="1"/>
  <c r="D134" i="5"/>
  <c r="H134" i="5" s="1"/>
  <c r="D131" i="5"/>
  <c r="D130" i="5"/>
  <c r="H130" i="5" s="1"/>
  <c r="D129" i="5"/>
  <c r="G129" i="5" s="1"/>
  <c r="D128" i="5"/>
  <c r="G128" i="5" s="1"/>
  <c r="D127" i="5"/>
  <c r="G127" i="5" s="1"/>
  <c r="D126" i="5"/>
  <c r="H126" i="5" s="1"/>
  <c r="D125" i="5"/>
  <c r="G125" i="5" s="1"/>
  <c r="D124" i="5"/>
  <c r="H124" i="5" s="1"/>
  <c r="D123" i="5"/>
  <c r="H123" i="5" s="1"/>
  <c r="D120" i="5"/>
  <c r="H120" i="5" s="1"/>
  <c r="D119" i="5"/>
  <c r="G119" i="5" s="1"/>
  <c r="D118" i="5"/>
  <c r="G118" i="5" s="1"/>
  <c r="D117" i="5"/>
  <c r="H117" i="5" s="1"/>
  <c r="D116" i="5"/>
  <c r="H116" i="5" s="1"/>
  <c r="D115" i="5"/>
  <c r="G115" i="5" s="1"/>
  <c r="D114" i="5"/>
  <c r="H114" i="5" s="1"/>
  <c r="D113" i="5"/>
  <c r="H113" i="5" s="1"/>
  <c r="D112" i="5"/>
  <c r="D109" i="5"/>
  <c r="H109" i="5" s="1"/>
  <c r="D108" i="5"/>
  <c r="G108" i="5" s="1"/>
  <c r="D107" i="5"/>
  <c r="H107" i="5" s="1"/>
  <c r="D106" i="5"/>
  <c r="H106" i="5" s="1"/>
  <c r="D105" i="5"/>
  <c r="H105" i="5" s="1"/>
  <c r="D104" i="5"/>
  <c r="G104" i="5" s="1"/>
  <c r="D103" i="5"/>
  <c r="D102" i="5"/>
  <c r="D101" i="5"/>
  <c r="D98" i="5"/>
  <c r="G98" i="5" s="1"/>
  <c r="D97" i="5"/>
  <c r="H97" i="5" s="1"/>
  <c r="D96" i="5"/>
  <c r="H96" i="5" s="1"/>
  <c r="D95" i="5"/>
  <c r="H95" i="5" s="1"/>
  <c r="D94" i="5"/>
  <c r="G94" i="5" s="1"/>
  <c r="G93" i="5"/>
  <c r="D93" i="5"/>
  <c r="H93" i="5" s="1"/>
  <c r="D92" i="5"/>
  <c r="H92" i="5" s="1"/>
  <c r="D91" i="5"/>
  <c r="H91" i="5" s="1"/>
  <c r="H90" i="5"/>
  <c r="D90" i="5"/>
  <c r="G90" i="5" s="1"/>
  <c r="D87" i="5"/>
  <c r="G87" i="5" s="1"/>
  <c r="D86" i="5"/>
  <c r="H86" i="5" s="1"/>
  <c r="D85" i="5"/>
  <c r="H85" i="5" s="1"/>
  <c r="D84" i="5"/>
  <c r="G84" i="5" s="1"/>
  <c r="D83" i="5"/>
  <c r="G83" i="5" s="1"/>
  <c r="D82" i="5"/>
  <c r="G82" i="5" s="1"/>
  <c r="D81" i="5"/>
  <c r="D80" i="5"/>
  <c r="G80" i="5" s="1"/>
  <c r="D79" i="5"/>
  <c r="G79" i="5" s="1"/>
  <c r="D76" i="5"/>
  <c r="D75" i="5"/>
  <c r="H75" i="5" s="1"/>
  <c r="D74" i="5"/>
  <c r="G74" i="5" s="1"/>
  <c r="D73" i="5"/>
  <c r="D72" i="5"/>
  <c r="H72" i="5" s="1"/>
  <c r="D71" i="5"/>
  <c r="H71" i="5" s="1"/>
  <c r="D70" i="5"/>
  <c r="G70" i="5" s="1"/>
  <c r="D69" i="5"/>
  <c r="D68" i="5"/>
  <c r="H68" i="5" s="1"/>
  <c r="D65" i="5"/>
  <c r="H65" i="5" s="1"/>
  <c r="D64" i="5"/>
  <c r="G64" i="5" s="1"/>
  <c r="D63" i="5"/>
  <c r="G63" i="5" s="1"/>
  <c r="D62" i="5"/>
  <c r="H62" i="5" s="1"/>
  <c r="D61" i="5"/>
  <c r="H61" i="5" s="1"/>
  <c r="D60" i="5"/>
  <c r="G60" i="5" s="1"/>
  <c r="H59" i="5"/>
  <c r="D59" i="5"/>
  <c r="G59" i="5" s="1"/>
  <c r="D58" i="5"/>
  <c r="G58" i="5" s="1"/>
  <c r="D57" i="5"/>
  <c r="H57" i="5" s="1"/>
  <c r="D54" i="5"/>
  <c r="H54" i="5" s="1"/>
  <c r="D53" i="5"/>
  <c r="G53" i="5" s="1"/>
  <c r="D52" i="5"/>
  <c r="H52" i="5" s="1"/>
  <c r="D51" i="5"/>
  <c r="H51" i="5" s="1"/>
  <c r="D50" i="5"/>
  <c r="H50" i="5" s="1"/>
  <c r="D49" i="5"/>
  <c r="G49" i="5" s="1"/>
  <c r="D48" i="5"/>
  <c r="D47" i="5"/>
  <c r="H47" i="5" s="1"/>
  <c r="D46" i="5"/>
  <c r="H46" i="5" s="1"/>
  <c r="D43" i="5"/>
  <c r="H43" i="5" s="1"/>
  <c r="D42" i="5"/>
  <c r="G42" i="5" s="1"/>
  <c r="D41" i="5"/>
  <c r="G41" i="5" s="1"/>
  <c r="D40" i="5"/>
  <c r="G40" i="5" s="1"/>
  <c r="D39" i="5"/>
  <c r="H39" i="5" s="1"/>
  <c r="D38" i="5"/>
  <c r="G38" i="5" s="1"/>
  <c r="D37" i="5"/>
  <c r="H37" i="5" s="1"/>
  <c r="D36" i="5"/>
  <c r="H36" i="5" s="1"/>
  <c r="D35" i="5"/>
  <c r="H35" i="5" s="1"/>
  <c r="D32" i="5"/>
  <c r="H32" i="5" s="1"/>
  <c r="D31" i="5"/>
  <c r="G31" i="5" s="1"/>
  <c r="D30" i="5"/>
  <c r="D29" i="5"/>
  <c r="H29" i="5" s="1"/>
  <c r="D28" i="5"/>
  <c r="H28" i="5" s="1"/>
  <c r="D27" i="5"/>
  <c r="G27" i="5" s="1"/>
  <c r="D26" i="5"/>
  <c r="H26" i="5" s="1"/>
  <c r="D25" i="5"/>
  <c r="H25" i="5" s="1"/>
  <c r="D24" i="5"/>
  <c r="H24" i="5" s="1"/>
  <c r="H21" i="5"/>
  <c r="D20" i="5"/>
  <c r="G20" i="5" s="1"/>
  <c r="D19" i="5"/>
  <c r="H19" i="5" s="1"/>
  <c r="D18" i="5"/>
  <c r="H18" i="5" s="1"/>
  <c r="D17" i="5"/>
  <c r="H17" i="5" s="1"/>
  <c r="D16" i="5"/>
  <c r="G16" i="5" s="1"/>
  <c r="D15" i="5"/>
  <c r="G15" i="5" s="1"/>
  <c r="D14" i="5"/>
  <c r="H14" i="5" s="1"/>
  <c r="D13" i="5"/>
  <c r="H13" i="5" s="1"/>
  <c r="D6" i="5"/>
  <c r="D7" i="5"/>
  <c r="H7" i="5" s="1"/>
  <c r="D8" i="5"/>
  <c r="G8" i="5" s="1"/>
  <c r="D9" i="5"/>
  <c r="H9" i="5" s="1"/>
  <c r="D10" i="5"/>
  <c r="L2" i="4"/>
  <c r="H153" i="5" l="1"/>
  <c r="G142" i="5"/>
  <c r="H131" i="5"/>
  <c r="H98" i="5"/>
  <c r="H87" i="5"/>
  <c r="H76" i="5"/>
  <c r="G10" i="5"/>
  <c r="H163" i="5"/>
  <c r="G152" i="5"/>
  <c r="H139" i="5"/>
  <c r="G138" i="5"/>
  <c r="H129" i="5"/>
  <c r="H128" i="5"/>
  <c r="H119" i="5"/>
  <c r="H108" i="5"/>
  <c r="G107" i="5"/>
  <c r="G97" i="5"/>
  <c r="H94" i="5"/>
  <c r="H83" i="5"/>
  <c r="H84" i="5"/>
  <c r="H73" i="5"/>
  <c r="H74" i="5"/>
  <c r="G73" i="5"/>
  <c r="H64" i="5"/>
  <c r="H63" i="5"/>
  <c r="H53" i="5"/>
  <c r="G52" i="5"/>
  <c r="H42" i="5"/>
  <c r="H41" i="5"/>
  <c r="H30" i="5"/>
  <c r="H31" i="5"/>
  <c r="G30" i="5"/>
  <c r="H20" i="5"/>
  <c r="G19" i="5"/>
  <c r="G9" i="5"/>
  <c r="H8" i="5"/>
  <c r="G7" i="5"/>
  <c r="H159" i="5"/>
  <c r="G158" i="5"/>
  <c r="H145" i="5"/>
  <c r="H135" i="5"/>
  <c r="G134" i="5"/>
  <c r="H125" i="5"/>
  <c r="G124" i="5"/>
  <c r="H112" i="5"/>
  <c r="H115" i="5"/>
  <c r="G114" i="5"/>
  <c r="H104" i="5"/>
  <c r="G103" i="5"/>
  <c r="H81" i="5"/>
  <c r="H80" i="5"/>
  <c r="H79" i="5"/>
  <c r="H69" i="5"/>
  <c r="H70" i="5"/>
  <c r="G69" i="5"/>
  <c r="H60" i="5"/>
  <c r="H48" i="5"/>
  <c r="H49" i="5"/>
  <c r="G48" i="5"/>
  <c r="H38" i="5"/>
  <c r="G37" i="5"/>
  <c r="H27" i="5"/>
  <c r="G26" i="5"/>
  <c r="H16" i="5"/>
  <c r="H15" i="5"/>
  <c r="G117" i="5"/>
  <c r="G123" i="5"/>
  <c r="G131" i="5"/>
  <c r="G137" i="5"/>
  <c r="G141" i="5"/>
  <c r="G147" i="5"/>
  <c r="G151" i="5"/>
  <c r="G157" i="5"/>
  <c r="G161" i="5"/>
  <c r="G113" i="5"/>
  <c r="G112" i="5"/>
  <c r="G116" i="5"/>
  <c r="G120" i="5"/>
  <c r="G126" i="5"/>
  <c r="H127" i="5"/>
  <c r="G130" i="5"/>
  <c r="G136" i="5"/>
  <c r="G140" i="5"/>
  <c r="G146" i="5"/>
  <c r="G150" i="5"/>
  <c r="G156" i="5"/>
  <c r="G160" i="5"/>
  <c r="G164" i="5"/>
  <c r="G62" i="5"/>
  <c r="G68" i="5"/>
  <c r="G72" i="5"/>
  <c r="G76" i="5"/>
  <c r="G86" i="5"/>
  <c r="G92" i="5"/>
  <c r="G96" i="5"/>
  <c r="G102" i="5"/>
  <c r="G106" i="5"/>
  <c r="H58" i="5"/>
  <c r="G61" i="5"/>
  <c r="G65" i="5"/>
  <c r="G71" i="5"/>
  <c r="G75" i="5"/>
  <c r="G81" i="5"/>
  <c r="H82" i="5"/>
  <c r="G85" i="5"/>
  <c r="G91" i="5"/>
  <c r="G95" i="5"/>
  <c r="G101" i="5"/>
  <c r="G105" i="5"/>
  <c r="G109" i="5"/>
  <c r="G57" i="5"/>
  <c r="G47" i="5"/>
  <c r="G51" i="5"/>
  <c r="G46" i="5"/>
  <c r="G50" i="5"/>
  <c r="G54" i="5"/>
  <c r="G36" i="5"/>
  <c r="G35" i="5"/>
  <c r="G39" i="5"/>
  <c r="H40" i="5"/>
  <c r="G43" i="5"/>
  <c r="G25" i="5"/>
  <c r="G29" i="5"/>
  <c r="G24" i="5"/>
  <c r="G28" i="5"/>
  <c r="G32" i="5"/>
  <c r="G14" i="5"/>
  <c r="G18" i="5"/>
  <c r="G13" i="5"/>
  <c r="G17" i="5"/>
  <c r="G21" i="5"/>
  <c r="L3" i="4"/>
  <c r="D5" i="5"/>
  <c r="D4" i="5"/>
  <c r="D3" i="5"/>
  <c r="D2" i="5"/>
  <c r="M2" i="4" l="1"/>
  <c r="N2" i="4" s="1"/>
  <c r="H2" i="5"/>
  <c r="G2" i="5"/>
  <c r="H6" i="5"/>
  <c r="G6" i="5"/>
  <c r="H5" i="5"/>
  <c r="G5" i="5"/>
  <c r="H4" i="5"/>
  <c r="G4" i="5"/>
  <c r="H3" i="5"/>
  <c r="G3" i="5"/>
</calcChain>
</file>

<file path=xl/sharedStrings.xml><?xml version="1.0" encoding="utf-8"?>
<sst xmlns="http://schemas.openxmlformats.org/spreadsheetml/2006/main" count="267" uniqueCount="38">
  <si>
    <t>number of CFU (not diluted)</t>
  </si>
  <si>
    <t>mean in 10 µL</t>
  </si>
  <si>
    <t>feces weights (mg)</t>
  </si>
  <si>
    <t>Dilution factor</t>
  </si>
  <si>
    <t>Colony Count</t>
  </si>
  <si>
    <t>Dilution Factor</t>
  </si>
  <si>
    <t>Average CFUs</t>
  </si>
  <si>
    <t>Log CFUs</t>
  </si>
  <si>
    <t>CFUs/50uL</t>
  </si>
  <si>
    <t>OD reached</t>
  </si>
  <si>
    <t>Log10 CFU/g of organ</t>
  </si>
  <si>
    <t>Total amout of bacteria in organ</t>
  </si>
  <si>
    <t>day 3</t>
  </si>
  <si>
    <t>day 5</t>
  </si>
  <si>
    <t xml:space="preserve">day 7 </t>
  </si>
  <si>
    <t>day 10</t>
  </si>
  <si>
    <t>day 14</t>
  </si>
  <si>
    <t>BL048 6 (LB plates)</t>
  </si>
  <si>
    <t xml:space="preserve">BL048 10^5.9 V5+2 days mouse 1 </t>
  </si>
  <si>
    <t>day 1</t>
  </si>
  <si>
    <t>day 2</t>
  </si>
  <si>
    <t>day 4</t>
  </si>
  <si>
    <t>day 6</t>
  </si>
  <si>
    <t xml:space="preserve">BL048 10^5.9 V5+2 days mouse 2 </t>
  </si>
  <si>
    <t>BL048 10^5.9 V5+2 days mouse 3</t>
  </si>
  <si>
    <t>BL048 10^5.9 V5+2 days mouse 4</t>
  </si>
  <si>
    <t>BL048 10^5.9 V5+2 days mouse 5</t>
  </si>
  <si>
    <t xml:space="preserve">BL048 10^5.9 V3+2 days mouse 1 </t>
  </si>
  <si>
    <t xml:space="preserve">BL048 10^5.9 V3+2 days mouse 2 </t>
  </si>
  <si>
    <t>BL048 10^5.9 V3+2 days mouse 3</t>
  </si>
  <si>
    <t>BL048 10^5.9 V3+2 days mouse 4</t>
  </si>
  <si>
    <t>BL048 10^5.9 V3+2 days mouse 5</t>
  </si>
  <si>
    <t xml:space="preserve">BL048 10^5.9 V3+0 days mouse 1 </t>
  </si>
  <si>
    <t xml:space="preserve">BL048 10^5.9 V3+0 days mouse 2 </t>
  </si>
  <si>
    <t>BL048 10^5.9 V3+0 days mouse 3</t>
  </si>
  <si>
    <t>BL048 10^5.9 V3+0 days mouse 4</t>
  </si>
  <si>
    <t>BL048 10^5.9 V3+0 days mouse 5</t>
  </si>
  <si>
    <t>number of CFU (not diluted) on VBM plates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</si>
</sst>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11" fontId="0" fillId="0" borderId="0" xfId="0" applyNumberFormat="1" applyFill="1" applyBorder="1" applyAlignment="1">
      <alignment horizontal="center"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0" fillId="0" borderId="0" xfId="0" applyBorder="1"/>
    <xf numFmtId="11" fontId="0" fillId="0" borderId="0" xfId="0" applyNumberFormat="1" applyBorder="1" applyAlignment="1">
      <alignment horizontal="center" vertical="center"/>
    </xf>
    <xf numFmtId="165" fontId="0" fillId="0" borderId="0" xfId="0" applyNumberForma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3" borderId="0" xfId="0" applyFont="1" applyFill="1" applyAlignment="1">
      <alignment horizontal="center"/>
    </xf>
    <xf numFmtId="164" fontId="0" fillId="3" borderId="0" xfId="0" applyNumberFormat="1" applyFont="1" applyFill="1"/>
    <xf numFmtId="164" fontId="0" fillId="3" borderId="0" xfId="0" applyNumberFormat="1" applyFill="1"/>
    <xf numFmtId="0" fontId="0" fillId="3" borderId="0" xfId="0" applyFill="1"/>
    <xf numFmtId="2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/>
    </xf>
    <xf numFmtId="2" fontId="0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 vertical="center" wrapText="1"/>
    </xf>
    <xf numFmtId="2" fontId="5" fillId="0" borderId="0" xfId="0" applyNumberFormat="1" applyFont="1" applyAlignment="1">
      <alignment horizontal="center"/>
    </xf>
    <xf numFmtId="2" fontId="0" fillId="0" borderId="0" xfId="0" applyNumberFormat="1" applyFont="1"/>
    <xf numFmtId="2" fontId="0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164" fontId="5" fillId="0" borderId="0" xfId="0" applyNumberFormat="1" applyFont="1" applyAlignment="1">
      <alignment horizontal="center" vertical="center" wrapText="1"/>
    </xf>
    <xf numFmtId="0" fontId="0" fillId="0" borderId="0" xfId="0" applyFill="1" applyBorder="1" applyAlignment="1"/>
    <xf numFmtId="11" fontId="0" fillId="0" borderId="0" xfId="0" applyNumberFormat="1" applyFill="1" applyBorder="1" applyAlignment="1">
      <alignment horizontal="center"/>
    </xf>
    <xf numFmtId="164" fontId="0" fillId="0" borderId="0" xfId="0" applyNumberFormat="1" applyFill="1"/>
    <xf numFmtId="0" fontId="1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3" borderId="0" xfId="0" applyFill="1" applyAlignment="1">
      <alignment horizontal="center" wrapText="1"/>
    </xf>
    <xf numFmtId="0" fontId="0" fillId="3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11" fontId="0" fillId="0" borderId="0" xfId="0" applyNumberFormat="1" applyFill="1" applyBorder="1" applyAlignment="1">
      <alignment vertical="center" wrapText="1"/>
    </xf>
    <xf numFmtId="164" fontId="5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1" fontId="0" fillId="0" borderId="0" xfId="0" applyNumberFormat="1" applyBorder="1" applyAlignment="1">
      <alignment horizontal="center" vertical="center" wrapText="1"/>
    </xf>
    <xf numFmtId="165" fontId="0" fillId="2" borderId="0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31"/>
  <sheetViews>
    <sheetView topLeftCell="B1" workbookViewId="0">
      <selection activeCell="K4" sqref="K4"/>
    </sheetView>
  </sheetViews>
  <sheetFormatPr baseColWidth="10" defaultRowHeight="16" x14ac:dyDescent="0.2"/>
  <cols>
    <col min="2" max="2" width="15.6640625" customWidth="1"/>
    <col min="3" max="3" width="17.33203125" customWidth="1"/>
    <col min="8" max="8" width="12.6640625" customWidth="1"/>
    <col min="9" max="9" width="22.6640625" customWidth="1"/>
    <col min="10" max="10" width="13.1640625" customWidth="1"/>
    <col min="11" max="11" width="17.5" customWidth="1"/>
    <col min="13" max="13" width="14.33203125" customWidth="1"/>
  </cols>
  <sheetData>
    <row r="1" spans="1:16" x14ac:dyDescent="0.2">
      <c r="A1" s="36"/>
      <c r="B1" s="36"/>
      <c r="C1" s="36"/>
      <c r="D1" s="36"/>
      <c r="E1" s="36"/>
      <c r="F1" s="29"/>
      <c r="G1" s="29"/>
      <c r="I1" s="1"/>
      <c r="J1" s="7" t="s">
        <v>4</v>
      </c>
      <c r="K1" s="7" t="s">
        <v>5</v>
      </c>
      <c r="L1" s="7" t="s">
        <v>8</v>
      </c>
      <c r="M1" s="7" t="s">
        <v>6</v>
      </c>
      <c r="N1" s="7" t="s">
        <v>7</v>
      </c>
      <c r="P1" s="7" t="s">
        <v>9</v>
      </c>
    </row>
    <row r="2" spans="1:16" ht="16" customHeight="1" x14ac:dyDescent="0.2">
      <c r="A2" s="37"/>
      <c r="B2" s="38"/>
      <c r="C2" s="38"/>
      <c r="D2" s="33"/>
      <c r="E2" s="39"/>
      <c r="F2" s="29"/>
      <c r="G2" s="29"/>
      <c r="I2" s="80" t="s">
        <v>17</v>
      </c>
      <c r="J2" s="43">
        <v>15</v>
      </c>
      <c r="K2" s="44">
        <v>10000</v>
      </c>
      <c r="L2" s="44">
        <f>J2*5*K2</f>
        <v>750000</v>
      </c>
      <c r="M2" s="78">
        <f>AVERAGE(L2:L3)</f>
        <v>725000</v>
      </c>
      <c r="N2" s="79">
        <f>LOG10(M2)</f>
        <v>5.860338006570994</v>
      </c>
      <c r="P2" s="77">
        <v>0.32700000000000001</v>
      </c>
    </row>
    <row r="3" spans="1:16" x14ac:dyDescent="0.2">
      <c r="A3" s="40"/>
      <c r="B3" s="38"/>
      <c r="C3" s="38"/>
      <c r="D3" s="41"/>
      <c r="E3" s="42"/>
      <c r="F3" s="29"/>
      <c r="G3" s="29"/>
      <c r="I3" s="80"/>
      <c r="J3" s="43">
        <v>14</v>
      </c>
      <c r="K3" s="44">
        <v>10000</v>
      </c>
      <c r="L3" s="44">
        <f t="shared" ref="L3" si="0">J3*5*K3</f>
        <v>700000</v>
      </c>
      <c r="M3" s="78"/>
      <c r="N3" s="79"/>
      <c r="P3" s="77"/>
    </row>
    <row r="4" spans="1:16" x14ac:dyDescent="0.2">
      <c r="A4" s="37"/>
      <c r="B4" s="38"/>
      <c r="C4" s="38"/>
      <c r="D4" s="33"/>
      <c r="E4" s="39"/>
      <c r="F4" s="29"/>
      <c r="G4" s="29"/>
      <c r="I4" s="30"/>
      <c r="J4" s="29"/>
      <c r="K4" s="31"/>
      <c r="L4" s="31"/>
      <c r="M4" s="74"/>
      <c r="N4" s="45"/>
      <c r="O4" s="28"/>
      <c r="P4" s="73"/>
    </row>
    <row r="5" spans="1:16" x14ac:dyDescent="0.2">
      <c r="A5" s="40"/>
      <c r="B5" s="38"/>
      <c r="C5" s="38"/>
      <c r="D5" s="41"/>
      <c r="E5" s="42"/>
      <c r="F5" s="29"/>
      <c r="G5" s="29"/>
      <c r="I5" s="30"/>
      <c r="J5" s="29"/>
      <c r="K5" s="31"/>
      <c r="L5" s="31"/>
      <c r="M5" s="74"/>
      <c r="N5" s="45"/>
      <c r="O5" s="28"/>
      <c r="P5" s="73"/>
    </row>
    <row r="6" spans="1:16" x14ac:dyDescent="0.2">
      <c r="A6" s="29"/>
      <c r="B6" s="29"/>
      <c r="C6" s="29"/>
      <c r="D6" s="29"/>
      <c r="E6" s="29"/>
      <c r="F6" s="29"/>
      <c r="G6" s="29"/>
      <c r="I6" s="30"/>
      <c r="J6" s="62"/>
      <c r="K6" s="63"/>
      <c r="L6" s="31"/>
      <c r="M6" s="74"/>
      <c r="N6" s="45"/>
      <c r="O6" s="28"/>
      <c r="P6" s="28"/>
    </row>
    <row r="7" spans="1:16" ht="16" customHeight="1" x14ac:dyDescent="0.2">
      <c r="A7" s="29"/>
      <c r="B7" s="29"/>
      <c r="C7" s="29"/>
      <c r="D7" s="29"/>
      <c r="E7" s="29"/>
      <c r="F7" s="29"/>
      <c r="G7" s="29"/>
      <c r="I7" s="30"/>
      <c r="J7" s="62"/>
      <c r="K7" s="32"/>
      <c r="L7" s="32"/>
      <c r="M7" s="74"/>
      <c r="N7" s="45"/>
      <c r="O7" s="28"/>
      <c r="P7" s="46"/>
    </row>
    <row r="8" spans="1:16" x14ac:dyDescent="0.2">
      <c r="I8" s="30"/>
      <c r="J8" s="62"/>
      <c r="K8" s="63"/>
      <c r="L8" s="31"/>
      <c r="M8" s="74"/>
      <c r="N8" s="45"/>
      <c r="O8" s="28"/>
      <c r="P8" s="46"/>
    </row>
    <row r="9" spans="1:16" x14ac:dyDescent="0.2">
      <c r="H9" s="28"/>
      <c r="I9" s="30"/>
      <c r="J9" s="62"/>
      <c r="K9" s="63"/>
      <c r="L9" s="31"/>
      <c r="M9" s="74"/>
      <c r="N9" s="45"/>
      <c r="O9" s="28"/>
      <c r="P9" s="46"/>
    </row>
    <row r="10" spans="1:16" x14ac:dyDescent="0.2">
      <c r="H10" s="28"/>
      <c r="I10" s="30"/>
      <c r="J10" s="62"/>
      <c r="K10" s="63"/>
      <c r="L10" s="31"/>
      <c r="M10" s="74"/>
      <c r="N10" s="45"/>
      <c r="O10" s="29"/>
      <c r="P10" s="33"/>
    </row>
    <row r="11" spans="1:16" x14ac:dyDescent="0.2">
      <c r="H11" s="28"/>
      <c r="I11" s="30"/>
      <c r="J11" s="62"/>
      <c r="K11" s="31"/>
      <c r="L11" s="31"/>
      <c r="M11" s="74"/>
      <c r="N11" s="45"/>
      <c r="O11" s="29"/>
      <c r="P11" s="33"/>
    </row>
    <row r="12" spans="1:16" x14ac:dyDescent="0.2">
      <c r="H12" s="28"/>
      <c r="I12" s="30"/>
      <c r="J12" s="62"/>
      <c r="K12" s="31"/>
      <c r="L12" s="31"/>
      <c r="M12" s="74"/>
      <c r="N12" s="45"/>
      <c r="O12" s="29"/>
      <c r="P12" s="33"/>
    </row>
    <row r="13" spans="1:16" x14ac:dyDescent="0.2">
      <c r="H13" s="28"/>
      <c r="I13" s="30"/>
      <c r="J13" s="62"/>
      <c r="K13" s="31"/>
      <c r="L13" s="31"/>
      <c r="M13" s="74"/>
      <c r="N13" s="45"/>
      <c r="O13" s="29"/>
      <c r="P13" s="33"/>
    </row>
    <row r="14" spans="1:16" x14ac:dyDescent="0.2">
      <c r="H14" s="28"/>
      <c r="I14" s="30"/>
      <c r="J14" s="62"/>
      <c r="K14" s="31"/>
      <c r="L14" s="31"/>
      <c r="M14" s="74"/>
      <c r="N14" s="45"/>
      <c r="O14" s="29"/>
      <c r="P14" s="29"/>
    </row>
    <row r="15" spans="1:16" x14ac:dyDescent="0.2">
      <c r="H15" s="28"/>
      <c r="I15" s="30"/>
      <c r="J15" s="62"/>
      <c r="K15" s="31"/>
      <c r="L15" s="31"/>
      <c r="M15" s="74"/>
      <c r="N15" s="45"/>
      <c r="O15" s="29"/>
      <c r="P15" s="29"/>
    </row>
    <row r="16" spans="1:16" x14ac:dyDescent="0.2">
      <c r="H16" s="28"/>
      <c r="I16" s="28"/>
      <c r="J16" s="28"/>
      <c r="K16" s="28"/>
      <c r="L16" s="28"/>
      <c r="M16" s="28"/>
      <c r="N16" s="28"/>
      <c r="O16" s="28"/>
      <c r="P16" s="28"/>
    </row>
    <row r="17" spans="8:16" x14ac:dyDescent="0.2">
      <c r="H17" s="28"/>
      <c r="I17" s="28"/>
      <c r="J17" s="28"/>
      <c r="K17" s="28"/>
      <c r="L17" s="28"/>
      <c r="M17" s="28"/>
      <c r="N17" s="28"/>
      <c r="O17" s="28"/>
      <c r="P17" s="28"/>
    </row>
    <row r="18" spans="8:16" ht="16" customHeight="1" x14ac:dyDescent="0.2">
      <c r="H18" s="28"/>
      <c r="I18" s="30"/>
      <c r="J18" s="29"/>
      <c r="K18" s="31"/>
      <c r="L18" s="31"/>
      <c r="M18" s="74"/>
      <c r="N18" s="45"/>
      <c r="O18" s="28"/>
      <c r="P18" s="28"/>
    </row>
    <row r="19" spans="8:16" x14ac:dyDescent="0.2">
      <c r="I19" s="30"/>
      <c r="J19" s="29"/>
      <c r="K19" s="31"/>
      <c r="L19" s="31"/>
      <c r="M19" s="74"/>
      <c r="N19" s="45"/>
      <c r="O19" s="28"/>
      <c r="P19" s="28"/>
    </row>
    <row r="20" spans="8:16" ht="16" customHeight="1" x14ac:dyDescent="0.2">
      <c r="I20" s="30"/>
      <c r="J20" s="29"/>
      <c r="K20" s="31"/>
      <c r="L20" s="31"/>
      <c r="M20" s="74"/>
      <c r="N20" s="45"/>
      <c r="O20" s="28"/>
      <c r="P20" s="28"/>
    </row>
    <row r="21" spans="8:16" x14ac:dyDescent="0.2">
      <c r="I21" s="30"/>
      <c r="J21" s="29"/>
      <c r="K21" s="31"/>
      <c r="L21" s="31"/>
      <c r="M21" s="74"/>
      <c r="N21" s="45"/>
      <c r="O21" s="28"/>
      <c r="P21" s="28"/>
    </row>
    <row r="22" spans="8:16" ht="16" customHeight="1" x14ac:dyDescent="0.2">
      <c r="I22" s="30"/>
      <c r="J22" s="62"/>
      <c r="K22" s="63"/>
      <c r="L22" s="31"/>
      <c r="M22" s="74"/>
      <c r="N22" s="45"/>
      <c r="O22" s="28"/>
      <c r="P22" s="28"/>
    </row>
    <row r="23" spans="8:16" x14ac:dyDescent="0.2">
      <c r="I23" s="30"/>
      <c r="J23" s="62"/>
      <c r="K23" s="31"/>
      <c r="L23" s="31"/>
      <c r="M23" s="74"/>
      <c r="N23" s="45"/>
      <c r="O23" s="28"/>
      <c r="P23" s="28"/>
    </row>
    <row r="24" spans="8:16" ht="16" customHeight="1" x14ac:dyDescent="0.2">
      <c r="I24" s="30"/>
      <c r="J24" s="62"/>
      <c r="K24" s="63"/>
      <c r="L24" s="31"/>
      <c r="M24" s="74"/>
      <c r="N24" s="45"/>
      <c r="O24" s="28"/>
      <c r="P24" s="28"/>
    </row>
    <row r="25" spans="8:16" x14ac:dyDescent="0.2">
      <c r="I25" s="30"/>
      <c r="J25" s="62"/>
      <c r="K25" s="63"/>
      <c r="L25" s="31"/>
      <c r="M25" s="74"/>
      <c r="N25" s="45"/>
      <c r="O25" s="28"/>
      <c r="P25" s="28"/>
    </row>
    <row r="26" spans="8:16" ht="16" customHeight="1" x14ac:dyDescent="0.2">
      <c r="I26" s="30"/>
      <c r="J26" s="62"/>
      <c r="K26" s="63"/>
      <c r="L26" s="31"/>
      <c r="M26" s="74"/>
      <c r="N26" s="45"/>
      <c r="O26" s="28"/>
      <c r="P26" s="28"/>
    </row>
    <row r="27" spans="8:16" x14ac:dyDescent="0.2">
      <c r="I27" s="30"/>
      <c r="J27" s="62"/>
      <c r="K27" s="31"/>
      <c r="L27" s="31"/>
      <c r="M27" s="74"/>
      <c r="N27" s="45"/>
      <c r="O27" s="28"/>
      <c r="P27" s="28"/>
    </row>
    <row r="28" spans="8:16" ht="16" customHeight="1" x14ac:dyDescent="0.2">
      <c r="I28" s="30"/>
      <c r="J28" s="62"/>
      <c r="K28" s="31"/>
      <c r="L28" s="31"/>
      <c r="M28" s="74"/>
      <c r="N28" s="45"/>
      <c r="O28" s="28"/>
      <c r="P28" s="28"/>
    </row>
    <row r="29" spans="8:16" x14ac:dyDescent="0.2">
      <c r="I29" s="30"/>
      <c r="J29" s="62"/>
      <c r="K29" s="31"/>
      <c r="L29" s="31"/>
      <c r="M29" s="74"/>
      <c r="N29" s="45"/>
      <c r="O29" s="28"/>
      <c r="P29" s="28"/>
    </row>
    <row r="30" spans="8:16" ht="16" customHeight="1" x14ac:dyDescent="0.2">
      <c r="I30" s="30"/>
      <c r="J30" s="62"/>
      <c r="K30" s="31"/>
      <c r="L30" s="31"/>
      <c r="M30" s="74"/>
      <c r="N30" s="45"/>
      <c r="O30" s="28"/>
      <c r="P30" s="28"/>
    </row>
    <row r="31" spans="8:16" x14ac:dyDescent="0.2">
      <c r="I31" s="30"/>
      <c r="J31" s="62"/>
      <c r="K31" s="31"/>
      <c r="L31" s="31"/>
      <c r="M31" s="74"/>
      <c r="N31" s="45"/>
      <c r="O31" s="28"/>
      <c r="P31" s="28"/>
    </row>
  </sheetData>
  <mergeCells count="4">
    <mergeCell ref="P2:P3"/>
    <mergeCell ref="M2:M3"/>
    <mergeCell ref="N2:N3"/>
    <mergeCell ref="I2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N310"/>
  <sheetViews>
    <sheetView tabSelected="1" topLeftCell="A135" zoomScale="93" zoomScaleNormal="100" workbookViewId="0">
      <selection activeCell="J12" sqref="J12:K12"/>
    </sheetView>
  </sheetViews>
  <sheetFormatPr baseColWidth="10" defaultRowHeight="16" x14ac:dyDescent="0.2"/>
  <cols>
    <col min="1" max="1" width="16.83203125" customWidth="1"/>
    <col min="5" max="5" width="10.83203125" style="1"/>
    <col min="6" max="6" width="10.83203125" style="4"/>
    <col min="7" max="7" width="14.83203125" style="5" customWidth="1"/>
    <col min="8" max="8" width="12" customWidth="1"/>
    <col min="10" max="10" width="11.5" customWidth="1"/>
  </cols>
  <sheetData>
    <row r="1" spans="1:14" ht="45" customHeight="1" x14ac:dyDescent="0.2">
      <c r="A1" s="2" t="s">
        <v>18</v>
      </c>
      <c r="B1" s="81" t="s">
        <v>0</v>
      </c>
      <c r="C1" s="81"/>
      <c r="D1" s="16" t="s">
        <v>1</v>
      </c>
      <c r="E1" s="35" t="s">
        <v>3</v>
      </c>
      <c r="F1" s="69" t="s">
        <v>2</v>
      </c>
      <c r="G1" s="51" t="s">
        <v>11</v>
      </c>
      <c r="H1" s="12" t="s">
        <v>10</v>
      </c>
      <c r="I1" s="12"/>
      <c r="J1" s="81" t="s">
        <v>37</v>
      </c>
      <c r="K1" s="81"/>
      <c r="L1" s="76" t="s">
        <v>1</v>
      </c>
      <c r="M1" s="76" t="s">
        <v>3</v>
      </c>
      <c r="N1" s="12" t="s">
        <v>10</v>
      </c>
    </row>
    <row r="2" spans="1:14" x14ac:dyDescent="0.2">
      <c r="A2" s="8" t="s">
        <v>19</v>
      </c>
      <c r="B2">
        <v>12</v>
      </c>
      <c r="C2">
        <v>14</v>
      </c>
      <c r="D2">
        <f>AVERAGE(B2:C2)</f>
        <v>13</v>
      </c>
      <c r="E2" s="1">
        <v>100</v>
      </c>
      <c r="F2" s="4">
        <f>1686.5-1657.6</f>
        <v>28.900000000000091</v>
      </c>
      <c r="G2" s="52">
        <f>LOG10(D2*E2*100)</f>
        <v>5.1139433523068369</v>
      </c>
      <c r="H2" s="13">
        <f>LOG10(D2*100*E2/F2*1000)</f>
        <v>6.6530455095502878</v>
      </c>
      <c r="I2" s="14"/>
    </row>
    <row r="3" spans="1:14" x14ac:dyDescent="0.2">
      <c r="A3" s="8" t="s">
        <v>20</v>
      </c>
      <c r="B3" s="9">
        <v>45</v>
      </c>
      <c r="C3" s="9">
        <v>62</v>
      </c>
      <c r="D3" s="9">
        <f t="shared" ref="D3:D10" si="0">AVERAGE(B3:C3)</f>
        <v>53.5</v>
      </c>
      <c r="E3" s="26">
        <v>100</v>
      </c>
      <c r="F3" s="8">
        <f>1707.5-1671.7</f>
        <v>35.799999999999955</v>
      </c>
      <c r="G3" s="52">
        <f t="shared" ref="G3:G10" si="1">LOG10(D3*E3*100)</f>
        <v>5.7283537820212285</v>
      </c>
      <c r="H3" s="13">
        <f>LOG10(D3*100*E3/F3*1000)</f>
        <v>7.1744707553773548</v>
      </c>
      <c r="I3" s="14"/>
    </row>
    <row r="4" spans="1:14" x14ac:dyDescent="0.2">
      <c r="A4" s="8" t="s">
        <v>12</v>
      </c>
      <c r="B4" s="9">
        <v>37</v>
      </c>
      <c r="C4" s="9">
        <v>41</v>
      </c>
      <c r="D4" s="9">
        <f t="shared" si="0"/>
        <v>39</v>
      </c>
      <c r="E4" s="26">
        <v>10</v>
      </c>
      <c r="F4" s="8">
        <f>1652.5-1634.8</f>
        <v>17.700000000000045</v>
      </c>
      <c r="G4" s="52">
        <f t="shared" si="1"/>
        <v>4.5910646070264995</v>
      </c>
      <c r="H4" s="13">
        <f t="shared" ref="H4:H10" si="2">LOG10(D4*100*E4/F4*1000)</f>
        <v>6.3430913406646914</v>
      </c>
      <c r="I4" s="14"/>
    </row>
    <row r="5" spans="1:14" x14ac:dyDescent="0.2">
      <c r="A5" s="8" t="s">
        <v>21</v>
      </c>
      <c r="B5" s="9">
        <v>36</v>
      </c>
      <c r="C5" s="9">
        <v>35</v>
      </c>
      <c r="D5" s="9">
        <f t="shared" si="0"/>
        <v>35.5</v>
      </c>
      <c r="E5" s="26">
        <v>100</v>
      </c>
      <c r="F5" s="8">
        <f>1835.9-1810.4</f>
        <v>25.5</v>
      </c>
      <c r="G5" s="52">
        <f t="shared" si="1"/>
        <v>5.5502283530550942</v>
      </c>
      <c r="H5" s="13">
        <f t="shared" si="2"/>
        <v>7.1436881726211388</v>
      </c>
      <c r="I5" s="14"/>
    </row>
    <row r="6" spans="1:14" ht="16" customHeight="1" x14ac:dyDescent="0.2">
      <c r="A6" s="17" t="s">
        <v>13</v>
      </c>
      <c r="B6" s="10">
        <v>18</v>
      </c>
      <c r="C6" s="10">
        <v>21</v>
      </c>
      <c r="D6" s="9">
        <f t="shared" si="0"/>
        <v>19.5</v>
      </c>
      <c r="E6" s="17">
        <v>100</v>
      </c>
      <c r="F6" s="70">
        <f>1672.7-1630.2</f>
        <v>42.5</v>
      </c>
      <c r="G6" s="52">
        <f t="shared" si="1"/>
        <v>5.2900346113625183</v>
      </c>
      <c r="H6" s="13">
        <f t="shared" si="2"/>
        <v>6.6616456813122067</v>
      </c>
      <c r="I6" s="14"/>
    </row>
    <row r="7" spans="1:14" ht="16" customHeight="1" x14ac:dyDescent="0.2">
      <c r="A7" s="17" t="s">
        <v>22</v>
      </c>
      <c r="B7" s="10">
        <v>47</v>
      </c>
      <c r="C7" s="10">
        <v>41</v>
      </c>
      <c r="D7" s="9">
        <f t="shared" si="0"/>
        <v>44</v>
      </c>
      <c r="E7" s="17">
        <v>10</v>
      </c>
      <c r="F7" s="70">
        <f>1717.7-1684.9</f>
        <v>32.799999999999955</v>
      </c>
      <c r="G7" s="52">
        <f t="shared" si="1"/>
        <v>4.6434526764861879</v>
      </c>
      <c r="H7" s="13">
        <f t="shared" si="2"/>
        <v>6.1275788327745087</v>
      </c>
      <c r="I7" s="14"/>
    </row>
    <row r="8" spans="1:14" ht="16" customHeight="1" x14ac:dyDescent="0.2">
      <c r="A8" s="17" t="s">
        <v>14</v>
      </c>
      <c r="B8" s="10">
        <v>26</v>
      </c>
      <c r="C8" s="10">
        <v>20</v>
      </c>
      <c r="D8" s="9">
        <f t="shared" si="0"/>
        <v>23</v>
      </c>
      <c r="E8" s="17">
        <v>100</v>
      </c>
      <c r="F8" s="70">
        <f>1810.7-1725.3</f>
        <v>85.400000000000091</v>
      </c>
      <c r="G8" s="52">
        <f t="shared" si="1"/>
        <v>5.3617278360175931</v>
      </c>
      <c r="H8" s="13">
        <f t="shared" si="2"/>
        <v>6.4302699653285877</v>
      </c>
      <c r="I8" s="14"/>
    </row>
    <row r="9" spans="1:14" ht="16" customHeight="1" x14ac:dyDescent="0.2">
      <c r="A9" s="17" t="s">
        <v>15</v>
      </c>
      <c r="B9" s="10">
        <v>28</v>
      </c>
      <c r="C9" s="10">
        <v>20</v>
      </c>
      <c r="D9" s="9">
        <f t="shared" si="0"/>
        <v>24</v>
      </c>
      <c r="E9" s="17">
        <v>10</v>
      </c>
      <c r="F9" s="70">
        <f>1712.5-1688</f>
        <v>24.5</v>
      </c>
      <c r="G9" s="52">
        <f t="shared" si="1"/>
        <v>4.3802112417116064</v>
      </c>
      <c r="H9" s="13">
        <f t="shared" si="2"/>
        <v>5.9910451573470738</v>
      </c>
      <c r="I9" s="14"/>
    </row>
    <row r="10" spans="1:14" ht="16" customHeight="1" x14ac:dyDescent="0.2">
      <c r="A10" s="17" t="s">
        <v>16</v>
      </c>
      <c r="B10" s="10">
        <v>11</v>
      </c>
      <c r="C10" s="10">
        <v>8</v>
      </c>
      <c r="D10" s="9">
        <f t="shared" si="0"/>
        <v>9.5</v>
      </c>
      <c r="E10" s="17">
        <v>10</v>
      </c>
      <c r="F10" s="70">
        <f>1902.4-1766.9</f>
        <v>135.5</v>
      </c>
      <c r="G10" s="52">
        <f t="shared" si="1"/>
        <v>3.9777236052888476</v>
      </c>
      <c r="H10" s="13">
        <f>LOG10(D10*100*E10/F10*1000)</f>
        <v>4.8457843100784235</v>
      </c>
      <c r="I10" s="14"/>
      <c r="J10">
        <v>11</v>
      </c>
      <c r="K10">
        <v>15</v>
      </c>
      <c r="L10">
        <f>AVERAGE(J10:K10)</f>
        <v>13</v>
      </c>
      <c r="M10">
        <v>10</v>
      </c>
      <c r="N10" s="14">
        <f>LOG10(L10*100*M10/F10*1000)</f>
        <v>4.9820040570964119</v>
      </c>
    </row>
    <row r="11" spans="1:14" x14ac:dyDescent="0.2">
      <c r="A11" s="8"/>
      <c r="B11" s="9"/>
      <c r="C11" s="9"/>
      <c r="D11" s="9"/>
      <c r="E11" s="26"/>
      <c r="F11" s="8"/>
      <c r="G11" s="52"/>
      <c r="H11" s="13"/>
      <c r="I11" s="14"/>
    </row>
    <row r="12" spans="1:14" ht="51" x14ac:dyDescent="0.2">
      <c r="A12" s="2" t="s">
        <v>23</v>
      </c>
      <c r="B12" s="81" t="s">
        <v>0</v>
      </c>
      <c r="C12" s="81"/>
      <c r="D12" s="35" t="s">
        <v>1</v>
      </c>
      <c r="E12" s="35" t="s">
        <v>3</v>
      </c>
      <c r="F12" s="69" t="s">
        <v>2</v>
      </c>
      <c r="G12" s="51" t="s">
        <v>11</v>
      </c>
      <c r="H12" s="12" t="s">
        <v>10</v>
      </c>
      <c r="I12" s="14"/>
      <c r="J12" s="81" t="s">
        <v>37</v>
      </c>
      <c r="K12" s="81"/>
      <c r="L12" s="76" t="s">
        <v>1</v>
      </c>
      <c r="M12" s="76" t="s">
        <v>3</v>
      </c>
      <c r="N12" s="12" t="s">
        <v>10</v>
      </c>
    </row>
    <row r="13" spans="1:14" x14ac:dyDescent="0.2">
      <c r="A13" s="8" t="s">
        <v>19</v>
      </c>
      <c r="B13">
        <v>116</v>
      </c>
      <c r="C13">
        <v>123</v>
      </c>
      <c r="D13">
        <f>AVERAGE(B13:C13)</f>
        <v>119.5</v>
      </c>
      <c r="E13" s="1">
        <v>1000</v>
      </c>
      <c r="F13" s="4">
        <f>1707.8-1666.2</f>
        <v>41.599999999999909</v>
      </c>
      <c r="G13" s="52">
        <f>LOG10(D13*E13*100)</f>
        <v>7.0773679052841567</v>
      </c>
      <c r="H13" s="13">
        <f>LOG10(D13*100*E13/F13*1000)</f>
        <v>8.4582745746574144</v>
      </c>
      <c r="I13" s="14"/>
    </row>
    <row r="14" spans="1:14" x14ac:dyDescent="0.2">
      <c r="A14" s="8" t="s">
        <v>20</v>
      </c>
      <c r="B14" s="9">
        <v>68</v>
      </c>
      <c r="C14" s="9">
        <v>56</v>
      </c>
      <c r="D14" s="9">
        <f t="shared" ref="D14:D21" si="3">AVERAGE(B14:C14)</f>
        <v>62</v>
      </c>
      <c r="E14" s="26">
        <v>1000</v>
      </c>
      <c r="F14" s="8">
        <f>1684.1-1659.4</f>
        <v>24.699999999999818</v>
      </c>
      <c r="G14" s="52">
        <f t="shared" ref="G14:G21" si="4">LOG10(D14*E14*100)</f>
        <v>6.7923916894982534</v>
      </c>
      <c r="H14" s="13">
        <f>LOG10(D14*100*E14/F14*1000)</f>
        <v>8.3996947362385921</v>
      </c>
      <c r="I14" s="14"/>
    </row>
    <row r="15" spans="1:14" x14ac:dyDescent="0.2">
      <c r="A15" s="8" t="s">
        <v>12</v>
      </c>
      <c r="B15" s="9">
        <v>14</v>
      </c>
      <c r="C15" s="9">
        <v>23</v>
      </c>
      <c r="D15" s="9">
        <f t="shared" si="3"/>
        <v>18.5</v>
      </c>
      <c r="E15" s="26">
        <v>1000</v>
      </c>
      <c r="F15" s="8">
        <f>1724.7-1701.1</f>
        <v>23.600000000000136</v>
      </c>
      <c r="G15" s="52">
        <f t="shared" si="4"/>
        <v>6.2671717284030137</v>
      </c>
      <c r="H15" s="13">
        <f t="shared" ref="H15:H21" si="5">LOG10(D15*100*E15/F15*1000)</f>
        <v>7.8942597254329048</v>
      </c>
      <c r="I15" s="14"/>
    </row>
    <row r="16" spans="1:14" x14ac:dyDescent="0.2">
      <c r="A16" s="8" t="s">
        <v>21</v>
      </c>
      <c r="B16" s="9">
        <v>114</v>
      </c>
      <c r="C16" s="9">
        <v>120</v>
      </c>
      <c r="D16" s="9">
        <f t="shared" si="3"/>
        <v>117</v>
      </c>
      <c r="E16" s="26">
        <v>1000</v>
      </c>
      <c r="F16" s="8">
        <f>1856.3-1803.6</f>
        <v>52.700000000000045</v>
      </c>
      <c r="G16" s="52">
        <f t="shared" si="4"/>
        <v>7.0681858617461613</v>
      </c>
      <c r="H16" s="13">
        <f t="shared" si="5"/>
        <v>8.346375246533615</v>
      </c>
      <c r="I16" s="14"/>
    </row>
    <row r="17" spans="1:14" ht="17" x14ac:dyDescent="0.2">
      <c r="A17" s="17" t="s">
        <v>13</v>
      </c>
      <c r="B17" s="10">
        <v>69</v>
      </c>
      <c r="C17" s="10">
        <v>80</v>
      </c>
      <c r="D17" s="9">
        <f t="shared" si="3"/>
        <v>74.5</v>
      </c>
      <c r="E17" s="17">
        <v>1000</v>
      </c>
      <c r="F17" s="70">
        <f>1744.8-1711.9</f>
        <v>32.899999999999864</v>
      </c>
      <c r="G17" s="52">
        <f t="shared" si="4"/>
        <v>6.8721562727482928</v>
      </c>
      <c r="H17" s="13">
        <f t="shared" si="5"/>
        <v>8.3549603747983205</v>
      </c>
      <c r="I17" s="14"/>
    </row>
    <row r="18" spans="1:14" ht="17" x14ac:dyDescent="0.2">
      <c r="A18" s="17" t="s">
        <v>22</v>
      </c>
      <c r="B18" s="10">
        <v>150</v>
      </c>
      <c r="C18" s="10"/>
      <c r="D18" s="9">
        <f t="shared" si="3"/>
        <v>150</v>
      </c>
      <c r="E18" s="17">
        <v>100</v>
      </c>
      <c r="F18" s="70">
        <f>1789.8-1776.3</f>
        <v>13.5</v>
      </c>
      <c r="G18" s="52">
        <f t="shared" si="4"/>
        <v>6.1760912590556813</v>
      </c>
      <c r="H18" s="13">
        <f t="shared" si="5"/>
        <v>8.0457574905606748</v>
      </c>
      <c r="I18" s="14"/>
    </row>
    <row r="19" spans="1:14" ht="17" x14ac:dyDescent="0.2">
      <c r="A19" s="17" t="s">
        <v>14</v>
      </c>
      <c r="B19" s="10">
        <v>21</v>
      </c>
      <c r="C19" s="10">
        <v>24</v>
      </c>
      <c r="D19" s="9">
        <f t="shared" si="3"/>
        <v>22.5</v>
      </c>
      <c r="E19" s="17">
        <v>1000</v>
      </c>
      <c r="F19" s="70">
        <f>1778.7-1739.2</f>
        <v>39.5</v>
      </c>
      <c r="G19" s="52">
        <f t="shared" si="4"/>
        <v>6.3521825181113627</v>
      </c>
      <c r="H19" s="13">
        <f t="shared" si="5"/>
        <v>7.7555854224849021</v>
      </c>
      <c r="I19" s="14"/>
    </row>
    <row r="20" spans="1:14" ht="17" x14ac:dyDescent="0.2">
      <c r="A20" s="17" t="s">
        <v>15</v>
      </c>
      <c r="B20" s="10">
        <v>16</v>
      </c>
      <c r="C20" s="10">
        <v>14</v>
      </c>
      <c r="D20" s="9">
        <f t="shared" si="3"/>
        <v>15</v>
      </c>
      <c r="E20" s="17">
        <v>100</v>
      </c>
      <c r="F20" s="70">
        <f>1819.1-1768.4</f>
        <v>50.699999999999818</v>
      </c>
      <c r="G20" s="52">
        <f t="shared" si="4"/>
        <v>5.1760912590556813</v>
      </c>
      <c r="H20" s="13">
        <f t="shared" si="5"/>
        <v>6.4710832997223466</v>
      </c>
      <c r="I20" s="14"/>
    </row>
    <row r="21" spans="1:14" ht="17" x14ac:dyDescent="0.2">
      <c r="A21" s="17" t="s">
        <v>16</v>
      </c>
      <c r="B21" s="10">
        <v>15</v>
      </c>
      <c r="C21" s="10">
        <v>16</v>
      </c>
      <c r="D21" s="9">
        <f>AVERAGE(B21:C21)</f>
        <v>15.5</v>
      </c>
      <c r="E21" s="17">
        <v>1</v>
      </c>
      <c r="F21" s="70">
        <f>1791.3-1762.9</f>
        <v>28.399999999999864</v>
      </c>
      <c r="G21" s="52">
        <f t="shared" si="4"/>
        <v>3.1903316981702914</v>
      </c>
      <c r="H21" s="13">
        <f t="shared" si="5"/>
        <v>4.7370133581232556</v>
      </c>
      <c r="I21" s="14"/>
      <c r="J21">
        <v>22</v>
      </c>
      <c r="K21">
        <v>14</v>
      </c>
      <c r="L21">
        <f>AVERAGE(J21:K21)</f>
        <v>18</v>
      </c>
      <c r="M21">
        <v>1</v>
      </c>
      <c r="N21" s="14">
        <f>LOG10(L21*100*M21/F21*1000)</f>
        <v>4.8019541650562703</v>
      </c>
    </row>
    <row r="22" spans="1:14" x14ac:dyDescent="0.2">
      <c r="A22" s="8"/>
      <c r="B22" s="9"/>
      <c r="C22" s="9"/>
      <c r="D22" s="9"/>
      <c r="E22" s="26"/>
      <c r="F22" s="8"/>
      <c r="G22" s="52"/>
      <c r="H22" s="13"/>
      <c r="I22" s="14"/>
    </row>
    <row r="23" spans="1:14" ht="51" x14ac:dyDescent="0.2">
      <c r="A23" s="2" t="s">
        <v>24</v>
      </c>
      <c r="B23" s="81" t="s">
        <v>0</v>
      </c>
      <c r="C23" s="81"/>
      <c r="D23" s="35" t="s">
        <v>1</v>
      </c>
      <c r="E23" s="35" t="s">
        <v>3</v>
      </c>
      <c r="F23" s="69" t="s">
        <v>2</v>
      </c>
      <c r="G23" s="51" t="s">
        <v>11</v>
      </c>
      <c r="H23" s="12" t="s">
        <v>10</v>
      </c>
      <c r="I23" s="14"/>
      <c r="J23" s="81" t="s">
        <v>37</v>
      </c>
      <c r="K23" s="81"/>
      <c r="L23" s="76" t="s">
        <v>1</v>
      </c>
      <c r="M23" s="76" t="s">
        <v>3</v>
      </c>
      <c r="N23" s="12" t="s">
        <v>10</v>
      </c>
    </row>
    <row r="24" spans="1:14" x14ac:dyDescent="0.2">
      <c r="A24" s="8" t="s">
        <v>19</v>
      </c>
      <c r="B24">
        <v>34</v>
      </c>
      <c r="C24">
        <v>41</v>
      </c>
      <c r="D24">
        <f>AVERAGE(B24:C24)</f>
        <v>37.5</v>
      </c>
      <c r="E24" s="1">
        <v>1000</v>
      </c>
      <c r="F24" s="4">
        <f>1737.4-1703.7</f>
        <v>33.700000000000045</v>
      </c>
      <c r="G24" s="52">
        <f>LOG10(D24*E24*100)</f>
        <v>6.5740312677277188</v>
      </c>
      <c r="H24" s="13">
        <f>LOG10(D24*100*E24/F24*1000)</f>
        <v>8.0464013668563794</v>
      </c>
      <c r="I24" s="14"/>
    </row>
    <row r="25" spans="1:14" s="28" customFormat="1" x14ac:dyDescent="0.2">
      <c r="A25" s="8" t="s">
        <v>20</v>
      </c>
      <c r="B25" s="9">
        <v>66</v>
      </c>
      <c r="C25" s="9">
        <v>68</v>
      </c>
      <c r="D25" s="9">
        <f t="shared" ref="D25:D32" si="6">AVERAGE(B25:C25)</f>
        <v>67</v>
      </c>
      <c r="E25" s="26">
        <v>1000</v>
      </c>
      <c r="F25" s="8">
        <f>1767.5-1724.3</f>
        <v>43.200000000000045</v>
      </c>
      <c r="G25" s="52">
        <f t="shared" ref="G25:G32" si="7">LOG10(D25*E25*100)</f>
        <v>6.826074802700826</v>
      </c>
      <c r="H25" s="13">
        <f>LOG10(D25*100*E25/F25*1000)</f>
        <v>8.1905910558859141</v>
      </c>
      <c r="I25" s="64"/>
      <c r="J25"/>
      <c r="K25"/>
      <c r="L25"/>
      <c r="M25"/>
      <c r="N25"/>
    </row>
    <row r="26" spans="1:14" x14ac:dyDescent="0.2">
      <c r="A26" s="8" t="s">
        <v>12</v>
      </c>
      <c r="B26" s="9">
        <v>11</v>
      </c>
      <c r="C26" s="9">
        <v>14</v>
      </c>
      <c r="D26" s="9">
        <f t="shared" si="6"/>
        <v>12.5</v>
      </c>
      <c r="E26" s="26">
        <v>1000</v>
      </c>
      <c r="F26" s="8">
        <f>1803.1-1795</f>
        <v>8.0999999999999091</v>
      </c>
      <c r="G26" s="52">
        <f t="shared" si="7"/>
        <v>6.0969100130080562</v>
      </c>
      <c r="H26" s="13">
        <f t="shared" ref="H26:H32" si="8">LOG10(D26*100*E26/F26*1000)</f>
        <v>8.1884249941294112</v>
      </c>
      <c r="I26" s="14"/>
    </row>
    <row r="27" spans="1:14" x14ac:dyDescent="0.2">
      <c r="A27" s="8" t="s">
        <v>21</v>
      </c>
      <c r="B27" s="9">
        <v>128</v>
      </c>
      <c r="C27" s="9">
        <v>151</v>
      </c>
      <c r="D27" s="9">
        <f t="shared" si="6"/>
        <v>139.5</v>
      </c>
      <c r="E27" s="26">
        <v>100</v>
      </c>
      <c r="F27" s="8">
        <f>1759-1747</f>
        <v>12</v>
      </c>
      <c r="G27" s="52">
        <f t="shared" si="7"/>
        <v>6.1445742076096161</v>
      </c>
      <c r="H27" s="13">
        <f t="shared" si="8"/>
        <v>8.0653929615619919</v>
      </c>
      <c r="I27" s="14"/>
    </row>
    <row r="28" spans="1:14" ht="16" customHeight="1" x14ac:dyDescent="0.2">
      <c r="A28" s="17" t="s">
        <v>13</v>
      </c>
      <c r="B28" s="10">
        <v>46</v>
      </c>
      <c r="C28" s="10">
        <v>43</v>
      </c>
      <c r="D28" s="9">
        <f t="shared" si="6"/>
        <v>44.5</v>
      </c>
      <c r="E28" s="17">
        <v>1000</v>
      </c>
      <c r="F28" s="70">
        <f>1738.6-1650.4</f>
        <v>88.199999999999818</v>
      </c>
      <c r="G28" s="52">
        <f t="shared" si="7"/>
        <v>6.648360010980932</v>
      </c>
      <c r="H28" s="13">
        <f t="shared" si="8"/>
        <v>7.7028914258491126</v>
      </c>
      <c r="I28" s="14"/>
    </row>
    <row r="29" spans="1:14" ht="16" customHeight="1" x14ac:dyDescent="0.2">
      <c r="A29" s="17" t="s">
        <v>22</v>
      </c>
      <c r="B29" s="10">
        <v>48</v>
      </c>
      <c r="C29" s="10">
        <v>52</v>
      </c>
      <c r="D29" s="9">
        <f t="shared" si="6"/>
        <v>50</v>
      </c>
      <c r="E29" s="17">
        <v>1000</v>
      </c>
      <c r="F29" s="70">
        <f>1662.1-1630.9</f>
        <v>31.199999999999818</v>
      </c>
      <c r="G29" s="52">
        <f t="shared" si="7"/>
        <v>6.6989700043360187</v>
      </c>
      <c r="H29" s="13">
        <f t="shared" si="8"/>
        <v>8.204815410317579</v>
      </c>
      <c r="I29" s="14"/>
    </row>
    <row r="30" spans="1:14" ht="17" x14ac:dyDescent="0.2">
      <c r="A30" s="17" t="s">
        <v>14</v>
      </c>
      <c r="B30" s="10">
        <v>64</v>
      </c>
      <c r="C30" s="10">
        <v>46</v>
      </c>
      <c r="D30" s="9">
        <f t="shared" si="6"/>
        <v>55</v>
      </c>
      <c r="E30" s="17">
        <v>1000</v>
      </c>
      <c r="F30" s="70">
        <f>1820.1-1782.9</f>
        <v>37.199999999999818</v>
      </c>
      <c r="G30" s="52">
        <f t="shared" si="7"/>
        <v>6.7403626894942441</v>
      </c>
      <c r="H30" s="13">
        <f t="shared" si="8"/>
        <v>8.1698197496123477</v>
      </c>
      <c r="I30" s="14"/>
    </row>
    <row r="31" spans="1:14" ht="17" x14ac:dyDescent="0.2">
      <c r="A31" s="17" t="s">
        <v>15</v>
      </c>
      <c r="B31" s="10">
        <v>17</v>
      </c>
      <c r="C31" s="10">
        <v>20</v>
      </c>
      <c r="D31" s="9">
        <f t="shared" si="6"/>
        <v>18.5</v>
      </c>
      <c r="E31" s="17">
        <v>100</v>
      </c>
      <c r="F31" s="70">
        <f>1698.3-1674.4</f>
        <v>23.899999999999864</v>
      </c>
      <c r="G31" s="52">
        <f t="shared" si="7"/>
        <v>5.2671717284030137</v>
      </c>
      <c r="H31" s="13">
        <f t="shared" si="8"/>
        <v>6.8887738274548784</v>
      </c>
      <c r="I31" s="14"/>
    </row>
    <row r="32" spans="1:14" ht="17" x14ac:dyDescent="0.2">
      <c r="A32" s="17" t="s">
        <v>16</v>
      </c>
      <c r="B32" s="10">
        <v>20</v>
      </c>
      <c r="C32" s="10">
        <v>17</v>
      </c>
      <c r="D32" s="9">
        <f t="shared" si="6"/>
        <v>18.5</v>
      </c>
      <c r="E32" s="17">
        <v>100</v>
      </c>
      <c r="F32" s="70">
        <f>1733.8-1637.1</f>
        <v>96.700000000000045</v>
      </c>
      <c r="G32" s="52">
        <f t="shared" si="7"/>
        <v>5.2671717284030137</v>
      </c>
      <c r="H32" s="13">
        <f t="shared" si="8"/>
        <v>6.2817452543200121</v>
      </c>
      <c r="I32" s="14"/>
      <c r="J32">
        <v>22</v>
      </c>
      <c r="K32">
        <v>24</v>
      </c>
      <c r="L32">
        <f>AVERAGE(J32:K32)</f>
        <v>23</v>
      </c>
      <c r="M32">
        <v>100</v>
      </c>
      <c r="N32" s="14">
        <f>LOG10(L32*100*M32/F32*1000)</f>
        <v>6.3763013619345914</v>
      </c>
    </row>
    <row r="33" spans="1:14" x14ac:dyDescent="0.2">
      <c r="A33" s="2"/>
      <c r="B33" s="81"/>
      <c r="C33" s="81"/>
      <c r="D33" s="34"/>
      <c r="E33" s="35"/>
      <c r="F33" s="69"/>
      <c r="G33" s="51"/>
      <c r="H33" s="61"/>
      <c r="I33" s="14"/>
    </row>
    <row r="34" spans="1:14" ht="51" x14ac:dyDescent="0.2">
      <c r="A34" s="2" t="s">
        <v>25</v>
      </c>
      <c r="B34" s="81" t="s">
        <v>0</v>
      </c>
      <c r="C34" s="81"/>
      <c r="D34" s="35" t="s">
        <v>1</v>
      </c>
      <c r="E34" s="35" t="s">
        <v>3</v>
      </c>
      <c r="F34" s="69" t="s">
        <v>2</v>
      </c>
      <c r="G34" s="51" t="s">
        <v>11</v>
      </c>
      <c r="H34" s="12" t="s">
        <v>10</v>
      </c>
      <c r="I34" s="14"/>
      <c r="J34" s="81" t="s">
        <v>37</v>
      </c>
      <c r="K34" s="81"/>
      <c r="L34" s="76" t="s">
        <v>1</v>
      </c>
      <c r="M34" s="76" t="s">
        <v>3</v>
      </c>
      <c r="N34" s="12" t="s">
        <v>10</v>
      </c>
    </row>
    <row r="35" spans="1:14" x14ac:dyDescent="0.2">
      <c r="A35" s="8" t="s">
        <v>19</v>
      </c>
      <c r="B35">
        <v>95</v>
      </c>
      <c r="C35">
        <v>93</v>
      </c>
      <c r="D35">
        <f>AVERAGE(B35:C35)</f>
        <v>94</v>
      </c>
      <c r="E35" s="1">
        <v>1000</v>
      </c>
      <c r="F35" s="4">
        <f>1758.5-1730.7</f>
        <v>27.799999999999955</v>
      </c>
      <c r="G35" s="52">
        <f>LOG10(D35*E35*100)</f>
        <v>6.9731278535996983</v>
      </c>
      <c r="H35" s="13">
        <f>LOG10(D35*100*E35/F35*1000)</f>
        <v>8.529083057681623</v>
      </c>
      <c r="I35" s="14"/>
    </row>
    <row r="36" spans="1:14" x14ac:dyDescent="0.2">
      <c r="A36" s="8" t="s">
        <v>20</v>
      </c>
      <c r="B36" s="9">
        <v>74</v>
      </c>
      <c r="C36" s="9">
        <v>60</v>
      </c>
      <c r="D36" s="9">
        <f t="shared" ref="D36:D43" si="9">AVERAGE(B36:C36)</f>
        <v>67</v>
      </c>
      <c r="E36" s="26">
        <v>1000</v>
      </c>
      <c r="F36" s="8">
        <f>1881.9-1759.1</f>
        <v>122.80000000000018</v>
      </c>
      <c r="G36" s="52">
        <f t="shared" ref="G36:G43" si="10">LOG10(D36*E36*100)</f>
        <v>6.826074802700826</v>
      </c>
      <c r="H36" s="13">
        <f>LOG10(D36*100*E36/F36*1000)</f>
        <v>7.7368764358956765</v>
      </c>
      <c r="I36" s="14"/>
    </row>
    <row r="37" spans="1:14" x14ac:dyDescent="0.2">
      <c r="A37" s="8" t="s">
        <v>12</v>
      </c>
      <c r="B37" s="9">
        <v>45</v>
      </c>
      <c r="C37" s="9">
        <v>43</v>
      </c>
      <c r="D37" s="9">
        <f t="shared" si="9"/>
        <v>44</v>
      </c>
      <c r="E37" s="26">
        <v>1000</v>
      </c>
      <c r="F37" s="8">
        <f>1798.1-1762.3</f>
        <v>35.799999999999955</v>
      </c>
      <c r="G37" s="52">
        <f t="shared" si="10"/>
        <v>6.6434526764861879</v>
      </c>
      <c r="H37" s="13">
        <f t="shared" ref="H37:H43" si="11">LOG10(D37*100*E37/F37*1000)</f>
        <v>8.0895696498423142</v>
      </c>
      <c r="I37" s="12"/>
    </row>
    <row r="38" spans="1:14" x14ac:dyDescent="0.2">
      <c r="A38" s="8" t="s">
        <v>21</v>
      </c>
      <c r="B38" s="9">
        <v>65</v>
      </c>
      <c r="C38" s="9">
        <v>75</v>
      </c>
      <c r="D38" s="9">
        <f t="shared" si="9"/>
        <v>70</v>
      </c>
      <c r="E38" s="26">
        <v>1000</v>
      </c>
      <c r="F38" s="8">
        <f>1764.6-1717.3</f>
        <v>47.299999999999955</v>
      </c>
      <c r="G38" s="52">
        <f t="shared" si="10"/>
        <v>6.8450980400142569</v>
      </c>
      <c r="H38" s="13">
        <f t="shared" si="11"/>
        <v>8.1702368992764463</v>
      </c>
      <c r="I38" s="14"/>
    </row>
    <row r="39" spans="1:14" s="28" customFormat="1" ht="17" x14ac:dyDescent="0.2">
      <c r="A39" s="17" t="s">
        <v>13</v>
      </c>
      <c r="B39" s="10">
        <v>117</v>
      </c>
      <c r="C39" s="10">
        <v>134</v>
      </c>
      <c r="D39" s="9">
        <f t="shared" si="9"/>
        <v>125.5</v>
      </c>
      <c r="E39" s="17">
        <v>1000</v>
      </c>
      <c r="F39" s="70">
        <f>1738.6-1650.4</f>
        <v>88.199999999999818</v>
      </c>
      <c r="G39" s="52">
        <f t="shared" si="10"/>
        <v>7.0986437258170572</v>
      </c>
      <c r="H39" s="13">
        <f t="shared" si="11"/>
        <v>8.1531751406852386</v>
      </c>
      <c r="I39" s="64"/>
      <c r="J39"/>
      <c r="K39"/>
      <c r="L39"/>
      <c r="M39"/>
      <c r="N39"/>
    </row>
    <row r="40" spans="1:14" ht="17" x14ac:dyDescent="0.2">
      <c r="A40" s="17" t="s">
        <v>22</v>
      </c>
      <c r="B40" s="10">
        <v>46</v>
      </c>
      <c r="C40" s="10">
        <v>36</v>
      </c>
      <c r="D40" s="9">
        <f t="shared" si="9"/>
        <v>41</v>
      </c>
      <c r="E40" s="17">
        <v>1000</v>
      </c>
      <c r="F40" s="70">
        <f>1698.9-1657.4</f>
        <v>41.5</v>
      </c>
      <c r="G40" s="52">
        <f t="shared" si="10"/>
        <v>6.6127838567197355</v>
      </c>
      <c r="H40" s="13">
        <f t="shared" si="11"/>
        <v>7.994735760007643</v>
      </c>
      <c r="I40" s="14"/>
    </row>
    <row r="41" spans="1:14" ht="17" x14ac:dyDescent="0.2">
      <c r="A41" s="17" t="s">
        <v>14</v>
      </c>
      <c r="B41" s="10">
        <v>23</v>
      </c>
      <c r="C41" s="10">
        <v>27</v>
      </c>
      <c r="D41" s="9">
        <f t="shared" si="9"/>
        <v>25</v>
      </c>
      <c r="E41" s="17">
        <v>1000</v>
      </c>
      <c r="F41" s="70">
        <f>1751.1-1698.6</f>
        <v>52.5</v>
      </c>
      <c r="G41" s="52">
        <f t="shared" si="10"/>
        <v>6.3979400086720375</v>
      </c>
      <c r="H41" s="13">
        <f t="shared" si="11"/>
        <v>7.6777807052660805</v>
      </c>
      <c r="I41" s="14"/>
    </row>
    <row r="42" spans="1:14" ht="17" x14ac:dyDescent="0.2">
      <c r="A42" s="17" t="s">
        <v>15</v>
      </c>
      <c r="B42" s="10">
        <v>32</v>
      </c>
      <c r="C42" s="10">
        <v>38</v>
      </c>
      <c r="D42" s="9">
        <f t="shared" si="9"/>
        <v>35</v>
      </c>
      <c r="E42" s="17">
        <v>100</v>
      </c>
      <c r="F42" s="70">
        <f>1763.2-1704.3</f>
        <v>58.900000000000091</v>
      </c>
      <c r="G42" s="52">
        <f t="shared" si="10"/>
        <v>5.5440680443502757</v>
      </c>
      <c r="H42" s="13">
        <f t="shared" si="11"/>
        <v>6.7739527495631737</v>
      </c>
      <c r="I42" s="14"/>
    </row>
    <row r="43" spans="1:14" ht="17" x14ac:dyDescent="0.2">
      <c r="A43" s="17" t="s">
        <v>16</v>
      </c>
      <c r="B43" s="10">
        <v>2</v>
      </c>
      <c r="C43" s="10">
        <v>3</v>
      </c>
      <c r="D43" s="9">
        <f t="shared" si="9"/>
        <v>2.5</v>
      </c>
      <c r="E43" s="17">
        <v>1</v>
      </c>
      <c r="F43" s="70">
        <f>1837.4-1746.1</f>
        <v>91.300000000000182</v>
      </c>
      <c r="G43" s="52">
        <f t="shared" si="10"/>
        <v>2.3979400086720375</v>
      </c>
      <c r="H43" s="13">
        <f t="shared" si="11"/>
        <v>3.4374692311377379</v>
      </c>
      <c r="I43" s="14"/>
      <c r="J43">
        <v>0</v>
      </c>
      <c r="K43">
        <v>3</v>
      </c>
      <c r="L43">
        <f>AVERAGE(J43:K43)</f>
        <v>1.5</v>
      </c>
      <c r="M43">
        <v>1</v>
      </c>
      <c r="N43" s="14">
        <f>LOG10(L43*100*M43/F43*1000)</f>
        <v>3.2156204815213814</v>
      </c>
    </row>
    <row r="44" spans="1:14" x14ac:dyDescent="0.2">
      <c r="A44" s="8"/>
      <c r="B44" s="9"/>
      <c r="C44" s="9"/>
      <c r="D44" s="9"/>
      <c r="E44" s="26"/>
      <c r="F44" s="8"/>
      <c r="G44" s="52"/>
      <c r="H44" s="13"/>
      <c r="I44" s="14"/>
    </row>
    <row r="45" spans="1:14" ht="51" x14ac:dyDescent="0.2">
      <c r="A45" s="2" t="s">
        <v>26</v>
      </c>
      <c r="B45" s="81" t="s">
        <v>0</v>
      </c>
      <c r="C45" s="81"/>
      <c r="D45" s="35" t="s">
        <v>1</v>
      </c>
      <c r="E45" s="35" t="s">
        <v>3</v>
      </c>
      <c r="F45" s="69" t="s">
        <v>2</v>
      </c>
      <c r="G45" s="51" t="s">
        <v>11</v>
      </c>
      <c r="H45" s="12" t="s">
        <v>10</v>
      </c>
      <c r="I45" s="14"/>
      <c r="J45" s="81" t="s">
        <v>37</v>
      </c>
      <c r="K45" s="81"/>
      <c r="L45" s="76" t="s">
        <v>1</v>
      </c>
      <c r="M45" s="76" t="s">
        <v>3</v>
      </c>
      <c r="N45" s="12" t="s">
        <v>10</v>
      </c>
    </row>
    <row r="46" spans="1:14" s="28" customFormat="1" x14ac:dyDescent="0.2">
      <c r="A46" s="8" t="s">
        <v>19</v>
      </c>
      <c r="B46">
        <v>22</v>
      </c>
      <c r="C46">
        <v>20</v>
      </c>
      <c r="D46">
        <f>AVERAGE(B46:C46)</f>
        <v>21</v>
      </c>
      <c r="E46" s="1">
        <v>1000</v>
      </c>
      <c r="F46" s="4">
        <f>1698-1679.8</f>
        <v>18.200000000000045</v>
      </c>
      <c r="G46" s="52">
        <f>LOG10(D46*E46*100)</f>
        <v>6.3222192947339195</v>
      </c>
      <c r="H46" s="13">
        <f>LOG10(D46*100*E46/F46*1000)</f>
        <v>8.0621479067488426</v>
      </c>
      <c r="I46" s="64"/>
      <c r="J46"/>
      <c r="K46"/>
      <c r="L46"/>
      <c r="M46"/>
      <c r="N46"/>
    </row>
    <row r="47" spans="1:14" x14ac:dyDescent="0.2">
      <c r="A47" s="8" t="s">
        <v>20</v>
      </c>
      <c r="B47" s="9">
        <v>76</v>
      </c>
      <c r="C47" s="9">
        <v>55</v>
      </c>
      <c r="D47" s="9">
        <f t="shared" ref="D47:D54" si="12">AVERAGE(B47:C47)</f>
        <v>65.5</v>
      </c>
      <c r="E47" s="26">
        <v>1000</v>
      </c>
      <c r="F47" s="8">
        <f>1783.4-1723.9</f>
        <v>59.5</v>
      </c>
      <c r="G47" s="52">
        <f t="shared" ref="G47:G54" si="13">LOG10(D47*E47*100)</f>
        <v>6.8162412999917832</v>
      </c>
      <c r="H47" s="13">
        <f>LOG10(D47*100*E47/F47*1000)</f>
        <v>8.0417243342632343</v>
      </c>
      <c r="I47" s="14"/>
    </row>
    <row r="48" spans="1:14" x14ac:dyDescent="0.2">
      <c r="A48" s="8" t="s">
        <v>12</v>
      </c>
      <c r="B48" s="9">
        <v>66</v>
      </c>
      <c r="C48" s="9">
        <v>60</v>
      </c>
      <c r="D48" s="9">
        <f t="shared" si="12"/>
        <v>63</v>
      </c>
      <c r="E48" s="26">
        <v>1000</v>
      </c>
      <c r="F48" s="8">
        <f>1802.9-1754.3</f>
        <v>48.600000000000136</v>
      </c>
      <c r="G48" s="52">
        <f t="shared" si="13"/>
        <v>6.7993405494535821</v>
      </c>
      <c r="H48" s="13">
        <f t="shared" ref="H48:H54" si="14">LOG10(D48*100*E48/F48*1000)</f>
        <v>8.1127042801912879</v>
      </c>
      <c r="I48" s="14"/>
    </row>
    <row r="49" spans="1:14" x14ac:dyDescent="0.2">
      <c r="A49" s="8" t="s">
        <v>21</v>
      </c>
      <c r="B49" s="9">
        <v>29</v>
      </c>
      <c r="C49" s="9">
        <v>32</v>
      </c>
      <c r="D49" s="9">
        <f t="shared" si="12"/>
        <v>30.5</v>
      </c>
      <c r="E49" s="26">
        <v>1000</v>
      </c>
      <c r="F49" s="8">
        <f>1728.9-1709</f>
        <v>19.900000000000091</v>
      </c>
      <c r="G49" s="52">
        <f t="shared" si="13"/>
        <v>6.4842998393467859</v>
      </c>
      <c r="H49" s="13">
        <f t="shared" si="14"/>
        <v>8.1854467629370777</v>
      </c>
      <c r="I49" s="14"/>
    </row>
    <row r="50" spans="1:14" ht="17" x14ac:dyDescent="0.2">
      <c r="A50" s="17" t="s">
        <v>13</v>
      </c>
      <c r="B50" s="10">
        <v>60</v>
      </c>
      <c r="C50" s="10">
        <v>74</v>
      </c>
      <c r="D50" s="9">
        <f t="shared" si="12"/>
        <v>67</v>
      </c>
      <c r="E50" s="17">
        <v>1000</v>
      </c>
      <c r="F50" s="70">
        <f>1788.1-1759.5</f>
        <v>28.599999999999909</v>
      </c>
      <c r="G50" s="52">
        <f t="shared" si="13"/>
        <v>6.826074802700826</v>
      </c>
      <c r="H50" s="13">
        <f t="shared" si="14"/>
        <v>8.3697087695717851</v>
      </c>
      <c r="I50" s="14"/>
    </row>
    <row r="51" spans="1:14" ht="17" x14ac:dyDescent="0.2">
      <c r="A51" s="17" t="s">
        <v>22</v>
      </c>
      <c r="B51" s="10">
        <v>42</v>
      </c>
      <c r="C51" s="10">
        <v>47</v>
      </c>
      <c r="D51" s="9">
        <f t="shared" si="12"/>
        <v>44.5</v>
      </c>
      <c r="E51" s="17">
        <v>1000</v>
      </c>
      <c r="F51" s="70">
        <f>1701.8-1679.9</f>
        <v>21.899999999999864</v>
      </c>
      <c r="G51" s="52">
        <f t="shared" si="13"/>
        <v>6.648360010980932</v>
      </c>
      <c r="H51" s="13">
        <f t="shared" si="14"/>
        <v>8.3079158961408162</v>
      </c>
      <c r="I51" s="14"/>
    </row>
    <row r="52" spans="1:14" ht="17" x14ac:dyDescent="0.2">
      <c r="A52" s="17" t="s">
        <v>14</v>
      </c>
      <c r="B52" s="10">
        <v>23</v>
      </c>
      <c r="C52" s="10">
        <v>22</v>
      </c>
      <c r="D52" s="9">
        <f t="shared" si="12"/>
        <v>22.5</v>
      </c>
      <c r="E52" s="17">
        <v>1000</v>
      </c>
      <c r="F52" s="70">
        <f>1718.3-1689.1</f>
        <v>29.200000000000045</v>
      </c>
      <c r="G52" s="52">
        <f t="shared" si="13"/>
        <v>6.3521825181113627</v>
      </c>
      <c r="H52" s="13">
        <f t="shared" si="14"/>
        <v>7.8867996666629434</v>
      </c>
      <c r="I52" s="14"/>
    </row>
    <row r="53" spans="1:14" ht="17" x14ac:dyDescent="0.2">
      <c r="A53" s="17" t="s">
        <v>15</v>
      </c>
      <c r="B53" s="10">
        <v>40</v>
      </c>
      <c r="C53" s="10">
        <v>42</v>
      </c>
      <c r="D53" s="9">
        <f t="shared" si="12"/>
        <v>41</v>
      </c>
      <c r="E53" s="17">
        <v>100</v>
      </c>
      <c r="F53" s="70">
        <f>1739-1710.8</f>
        <v>28.200000000000045</v>
      </c>
      <c r="G53" s="52">
        <f t="shared" si="13"/>
        <v>5.6127838567197355</v>
      </c>
      <c r="H53" s="13">
        <f t="shared" si="14"/>
        <v>7.1625347484003736</v>
      </c>
      <c r="I53" s="14"/>
    </row>
    <row r="54" spans="1:14" ht="17" x14ac:dyDescent="0.2">
      <c r="A54" s="17" t="s">
        <v>16</v>
      </c>
      <c r="B54" s="10">
        <v>11</v>
      </c>
      <c r="C54" s="10">
        <v>10</v>
      </c>
      <c r="D54" s="9">
        <f t="shared" si="12"/>
        <v>10.5</v>
      </c>
      <c r="E54" s="17">
        <v>10</v>
      </c>
      <c r="F54" s="70">
        <f>1947.5-1870.8</f>
        <v>76.700000000000045</v>
      </c>
      <c r="G54" s="52">
        <f t="shared" si="13"/>
        <v>4.0211892990699383</v>
      </c>
      <c r="H54" s="13">
        <f t="shared" si="14"/>
        <v>5.1363939351209567</v>
      </c>
      <c r="I54" s="14"/>
      <c r="J54">
        <v>10</v>
      </c>
      <c r="K54">
        <v>13</v>
      </c>
      <c r="L54">
        <f>AVERAGE(J54:K54)</f>
        <v>11.5</v>
      </c>
      <c r="M54">
        <v>10</v>
      </c>
      <c r="N54" s="14">
        <f>LOG10(L54*100*M54/F54*1000)</f>
        <v>5.1759024764046302</v>
      </c>
    </row>
    <row r="55" spans="1:14" s="50" customFormat="1" x14ac:dyDescent="0.2">
      <c r="A55" s="47"/>
      <c r="E55" s="72"/>
      <c r="F55" s="67"/>
      <c r="G55" s="60"/>
      <c r="H55" s="48"/>
      <c r="I55" s="49"/>
    </row>
    <row r="56" spans="1:14" ht="51" customHeight="1" x14ac:dyDescent="0.2">
      <c r="A56" s="2" t="s">
        <v>27</v>
      </c>
      <c r="B56" s="81" t="s">
        <v>0</v>
      </c>
      <c r="C56" s="81"/>
      <c r="D56" s="35" t="s">
        <v>1</v>
      </c>
      <c r="E56" s="35" t="s">
        <v>3</v>
      </c>
      <c r="F56" s="69" t="s">
        <v>2</v>
      </c>
      <c r="G56" s="51" t="s">
        <v>11</v>
      </c>
      <c r="H56" s="12" t="s">
        <v>10</v>
      </c>
      <c r="I56" s="14"/>
    </row>
    <row r="57" spans="1:14" x14ac:dyDescent="0.2">
      <c r="A57" s="8" t="s">
        <v>19</v>
      </c>
      <c r="B57">
        <v>67</v>
      </c>
      <c r="C57">
        <v>67</v>
      </c>
      <c r="D57">
        <f>AVERAGE(B57:C57)</f>
        <v>67</v>
      </c>
      <c r="E57" s="1">
        <v>1000</v>
      </c>
      <c r="F57" s="4">
        <f>1670.3-1634.4</f>
        <v>35.899999999999864</v>
      </c>
      <c r="G57" s="52">
        <f>LOG10(D57*E57*100)</f>
        <v>6.826074802700826</v>
      </c>
      <c r="H57" s="13">
        <f>LOG10(D57*100*E57/F57*1000)</f>
        <v>8.2709803541225089</v>
      </c>
      <c r="I57" s="14"/>
    </row>
    <row r="58" spans="1:14" x14ac:dyDescent="0.2">
      <c r="A58" s="8" t="s">
        <v>20</v>
      </c>
      <c r="B58" s="9">
        <v>28</v>
      </c>
      <c r="C58" s="9">
        <v>25</v>
      </c>
      <c r="D58" s="9">
        <f t="shared" ref="D58:D65" si="15">AVERAGE(B58:C58)</f>
        <v>26.5</v>
      </c>
      <c r="E58" s="26">
        <v>1000</v>
      </c>
      <c r="F58" s="8">
        <f>1748.5-1715.3</f>
        <v>33.200000000000045</v>
      </c>
      <c r="G58" s="52">
        <f t="shared" ref="G58:G65" si="16">LOG10(D58*E58*100)</f>
        <v>6.4232458739368079</v>
      </c>
      <c r="H58" s="13">
        <f>LOG10(D58*100*E58/F58*1000)</f>
        <v>7.9021077902327708</v>
      </c>
      <c r="I58" s="14"/>
    </row>
    <row r="59" spans="1:14" x14ac:dyDescent="0.2">
      <c r="A59" s="8" t="s">
        <v>12</v>
      </c>
      <c r="B59" s="9">
        <v>11</v>
      </c>
      <c r="C59" s="9">
        <v>15</v>
      </c>
      <c r="D59" s="9">
        <f t="shared" si="15"/>
        <v>13</v>
      </c>
      <c r="E59" s="26">
        <v>1000</v>
      </c>
      <c r="F59" s="8">
        <f>1697-1685.5</f>
        <v>11.5</v>
      </c>
      <c r="G59" s="52">
        <f t="shared" si="16"/>
        <v>6.1139433523068369</v>
      </c>
      <c r="H59" s="13">
        <f t="shared" ref="H59:H65" si="17">LOG10(D59*100*E59/F59*1000)</f>
        <v>8.0532455119532251</v>
      </c>
      <c r="I59" s="14"/>
    </row>
    <row r="60" spans="1:14" x14ac:dyDescent="0.2">
      <c r="A60" s="8" t="s">
        <v>21</v>
      </c>
      <c r="B60" s="9">
        <v>11</v>
      </c>
      <c r="C60" s="9">
        <v>22</v>
      </c>
      <c r="D60" s="9">
        <f t="shared" si="15"/>
        <v>16.5</v>
      </c>
      <c r="E60" s="26">
        <v>1000</v>
      </c>
      <c r="F60" s="8">
        <f>1801.4-1785.4</f>
        <v>16</v>
      </c>
      <c r="G60" s="52">
        <f t="shared" si="16"/>
        <v>6.2174839442139067</v>
      </c>
      <c r="H60" s="13">
        <f t="shared" si="17"/>
        <v>8.0133639615579817</v>
      </c>
      <c r="I60" s="14"/>
    </row>
    <row r="61" spans="1:14" ht="17" x14ac:dyDescent="0.2">
      <c r="A61" s="17" t="s">
        <v>13</v>
      </c>
      <c r="B61" s="10">
        <v>87</v>
      </c>
      <c r="C61" s="10">
        <v>82</v>
      </c>
      <c r="D61" s="9">
        <f t="shared" si="15"/>
        <v>84.5</v>
      </c>
      <c r="E61" s="17">
        <v>1000</v>
      </c>
      <c r="F61" s="70">
        <f>1766.3-1724.9</f>
        <v>41.399999999999864</v>
      </c>
      <c r="G61" s="52">
        <f t="shared" si="16"/>
        <v>6.9268567089496926</v>
      </c>
      <c r="H61" s="13">
        <f t="shared" si="17"/>
        <v>8.3098563678287949</v>
      </c>
      <c r="I61" s="14"/>
    </row>
    <row r="62" spans="1:14" ht="17" x14ac:dyDescent="0.2">
      <c r="A62" s="17" t="s">
        <v>22</v>
      </c>
      <c r="B62" s="10">
        <v>23</v>
      </c>
      <c r="C62" s="10">
        <v>28</v>
      </c>
      <c r="D62" s="9">
        <f t="shared" si="15"/>
        <v>25.5</v>
      </c>
      <c r="E62" s="17">
        <v>1000</v>
      </c>
      <c r="F62" s="70">
        <f>1778.9-1747.2</f>
        <v>31.700000000000045</v>
      </c>
      <c r="G62" s="52">
        <f t="shared" si="16"/>
        <v>6.4065401804339555</v>
      </c>
      <c r="H62" s="13">
        <f t="shared" si="17"/>
        <v>7.9054809182162034</v>
      </c>
      <c r="I62" s="14"/>
    </row>
    <row r="63" spans="1:14" ht="17" x14ac:dyDescent="0.2">
      <c r="A63" s="17" t="s">
        <v>14</v>
      </c>
      <c r="B63" s="10">
        <v>17</v>
      </c>
      <c r="C63" s="10">
        <v>16</v>
      </c>
      <c r="D63" s="9">
        <f t="shared" si="15"/>
        <v>16.5</v>
      </c>
      <c r="E63" s="17">
        <v>1000</v>
      </c>
      <c r="F63" s="70">
        <f>1700.1-1669.5</f>
        <v>30.599999999999909</v>
      </c>
      <c r="G63" s="52">
        <f t="shared" si="16"/>
        <v>6.2174839442139067</v>
      </c>
      <c r="H63" s="13">
        <f t="shared" si="17"/>
        <v>7.7317625177323279</v>
      </c>
      <c r="I63" s="14"/>
    </row>
    <row r="64" spans="1:14" ht="17" x14ac:dyDescent="0.2">
      <c r="A64" s="17" t="s">
        <v>15</v>
      </c>
      <c r="B64" s="10">
        <v>28</v>
      </c>
      <c r="C64" s="10">
        <v>17</v>
      </c>
      <c r="D64" s="9">
        <f t="shared" si="15"/>
        <v>22.5</v>
      </c>
      <c r="E64" s="17">
        <v>100</v>
      </c>
      <c r="F64" s="70">
        <f>1848.4-1825.7</f>
        <v>22.700000000000045</v>
      </c>
      <c r="G64" s="52">
        <f t="shared" si="16"/>
        <v>5.3521825181113627</v>
      </c>
      <c r="H64" s="13">
        <f t="shared" si="17"/>
        <v>6.9961566609182393</v>
      </c>
      <c r="I64" s="14"/>
    </row>
    <row r="65" spans="1:9" ht="17" x14ac:dyDescent="0.2">
      <c r="A65" s="17" t="s">
        <v>16</v>
      </c>
      <c r="B65" s="10">
        <v>50</v>
      </c>
      <c r="C65" s="10">
        <v>45</v>
      </c>
      <c r="D65" s="9">
        <f t="shared" si="15"/>
        <v>47.5</v>
      </c>
      <c r="E65" s="17">
        <v>100</v>
      </c>
      <c r="F65" s="70">
        <f>1659.8-1592.3</f>
        <v>67.5</v>
      </c>
      <c r="G65" s="52">
        <f t="shared" si="16"/>
        <v>5.6766936096248664</v>
      </c>
      <c r="H65" s="13">
        <f t="shared" si="17"/>
        <v>6.8473898367938419</v>
      </c>
      <c r="I65" s="12"/>
    </row>
    <row r="66" spans="1:9" x14ac:dyDescent="0.2">
      <c r="A66" s="8"/>
      <c r="B66" s="9"/>
      <c r="C66" s="9"/>
      <c r="D66" s="9"/>
      <c r="E66" s="26"/>
      <c r="F66" s="8"/>
      <c r="G66" s="52"/>
      <c r="H66" s="13"/>
      <c r="I66" s="14"/>
    </row>
    <row r="67" spans="1:9" s="28" customFormat="1" ht="51" x14ac:dyDescent="0.2">
      <c r="A67" s="2" t="s">
        <v>28</v>
      </c>
      <c r="B67" s="81" t="s">
        <v>0</v>
      </c>
      <c r="C67" s="81"/>
      <c r="D67" s="35" t="s">
        <v>1</v>
      </c>
      <c r="E67" s="35" t="s">
        <v>3</v>
      </c>
      <c r="F67" s="69" t="s">
        <v>2</v>
      </c>
      <c r="G67" s="51" t="s">
        <v>11</v>
      </c>
      <c r="H67" s="12" t="s">
        <v>10</v>
      </c>
      <c r="I67" s="64"/>
    </row>
    <row r="68" spans="1:9" x14ac:dyDescent="0.2">
      <c r="A68" s="8" t="s">
        <v>19</v>
      </c>
      <c r="B68">
        <v>84</v>
      </c>
      <c r="C68">
        <v>69</v>
      </c>
      <c r="D68">
        <f>AVERAGE(B68:C68)</f>
        <v>76.5</v>
      </c>
      <c r="E68" s="1">
        <v>1000</v>
      </c>
      <c r="F68" s="4">
        <f>1825.6-1788.9</f>
        <v>36.699999999999818</v>
      </c>
      <c r="G68" s="52">
        <f>LOG10(D68*E68*100)</f>
        <v>6.8836614351536172</v>
      </c>
      <c r="H68" s="13">
        <f>LOG10(D68*100*E68/F68*1000)</f>
        <v>8.318995370901531</v>
      </c>
      <c r="I68" s="14"/>
    </row>
    <row r="69" spans="1:9" x14ac:dyDescent="0.2">
      <c r="A69" s="8" t="s">
        <v>20</v>
      </c>
      <c r="B69" s="9">
        <v>14</v>
      </c>
      <c r="C69" s="9">
        <v>11</v>
      </c>
      <c r="D69" s="9">
        <f t="shared" ref="D69:D76" si="18">AVERAGE(B69:C69)</f>
        <v>12.5</v>
      </c>
      <c r="E69" s="26">
        <v>1000</v>
      </c>
      <c r="F69" s="8">
        <f>1785.5-1763.5</f>
        <v>22</v>
      </c>
      <c r="G69" s="52">
        <f t="shared" ref="G69:G76" si="19">LOG10(D69*E69*100)</f>
        <v>6.0969100130080562</v>
      </c>
      <c r="H69" s="13">
        <f>LOG10(D69*100*E69/F69*1000)</f>
        <v>7.7544873321858505</v>
      </c>
      <c r="I69" s="14"/>
    </row>
    <row r="70" spans="1:9" x14ac:dyDescent="0.2">
      <c r="A70" s="8" t="s">
        <v>12</v>
      </c>
      <c r="B70" s="9">
        <v>6</v>
      </c>
      <c r="C70" s="9">
        <v>10</v>
      </c>
      <c r="D70" s="9">
        <f t="shared" si="18"/>
        <v>8</v>
      </c>
      <c r="E70" s="26">
        <v>1000</v>
      </c>
      <c r="F70" s="8">
        <f>1706.6-1681.2</f>
        <v>25.399999999999864</v>
      </c>
      <c r="G70" s="52">
        <f t="shared" si="19"/>
        <v>5.9030899869919438</v>
      </c>
      <c r="H70" s="13">
        <f t="shared" ref="H70:H76" si="20">LOG10(D70*100*E70/F70*1000)</f>
        <v>7.4982562703720079</v>
      </c>
      <c r="I70" s="14"/>
    </row>
    <row r="71" spans="1:9" x14ac:dyDescent="0.2">
      <c r="A71" s="8" t="s">
        <v>21</v>
      </c>
      <c r="B71" s="9">
        <v>14</v>
      </c>
      <c r="C71" s="9">
        <v>13</v>
      </c>
      <c r="D71" s="9">
        <f t="shared" si="18"/>
        <v>13.5</v>
      </c>
      <c r="E71" s="26">
        <v>1000</v>
      </c>
      <c r="F71" s="8">
        <f>1631.1-1607.9</f>
        <v>23.199999999999818</v>
      </c>
      <c r="G71" s="52">
        <f t="shared" si="19"/>
        <v>6.1303337684950066</v>
      </c>
      <c r="H71" s="13">
        <f t="shared" si="20"/>
        <v>7.7648457836041098</v>
      </c>
      <c r="I71" s="14"/>
    </row>
    <row r="72" spans="1:9" ht="17" x14ac:dyDescent="0.2">
      <c r="A72" s="17" t="s">
        <v>13</v>
      </c>
      <c r="B72" s="10">
        <v>21</v>
      </c>
      <c r="C72" s="10">
        <v>24</v>
      </c>
      <c r="D72" s="9">
        <f t="shared" si="18"/>
        <v>22.5</v>
      </c>
      <c r="E72" s="17">
        <v>1000</v>
      </c>
      <c r="F72" s="70">
        <f>1781.1-1745.7</f>
        <v>35.399999999999864</v>
      </c>
      <c r="G72" s="52">
        <f t="shared" si="19"/>
        <v>6.3521825181113627</v>
      </c>
      <c r="H72" s="13">
        <f t="shared" si="20"/>
        <v>7.8031792560855759</v>
      </c>
      <c r="I72" s="14"/>
    </row>
    <row r="73" spans="1:9" ht="17" x14ac:dyDescent="0.2">
      <c r="A73" s="17" t="s">
        <v>22</v>
      </c>
      <c r="B73" s="10">
        <v>28</v>
      </c>
      <c r="C73" s="10">
        <v>27</v>
      </c>
      <c r="D73" s="9">
        <f t="shared" si="18"/>
        <v>27.5</v>
      </c>
      <c r="E73" s="17">
        <v>1000</v>
      </c>
      <c r="F73" s="70">
        <f>1771.3-1708.6</f>
        <v>62.700000000000045</v>
      </c>
      <c r="G73" s="52">
        <f t="shared" si="19"/>
        <v>6.4393326938302629</v>
      </c>
      <c r="H73" s="13">
        <f t="shared" si="20"/>
        <v>7.642065152999546</v>
      </c>
      <c r="I73" s="14"/>
    </row>
    <row r="74" spans="1:9" s="28" customFormat="1" ht="17" x14ac:dyDescent="0.2">
      <c r="A74" s="17" t="s">
        <v>14</v>
      </c>
      <c r="B74" s="10">
        <v>11</v>
      </c>
      <c r="C74" s="10">
        <v>13</v>
      </c>
      <c r="D74" s="9">
        <f t="shared" si="18"/>
        <v>12</v>
      </c>
      <c r="E74" s="17">
        <v>1000</v>
      </c>
      <c r="F74" s="70">
        <f>1802.2-1773.1</f>
        <v>29.100000000000136</v>
      </c>
      <c r="G74" s="52">
        <f t="shared" si="19"/>
        <v>6.0791812460476251</v>
      </c>
      <c r="H74" s="13">
        <f t="shared" si="20"/>
        <v>7.6152882570617155</v>
      </c>
      <c r="I74" s="64"/>
    </row>
    <row r="75" spans="1:9" ht="17" x14ac:dyDescent="0.2">
      <c r="A75" s="17" t="s">
        <v>15</v>
      </c>
      <c r="B75" s="10">
        <v>27</v>
      </c>
      <c r="C75" s="10">
        <v>28</v>
      </c>
      <c r="D75" s="9">
        <f t="shared" si="18"/>
        <v>27.5</v>
      </c>
      <c r="E75" s="17">
        <v>100</v>
      </c>
      <c r="F75" s="70">
        <f>1721.7-1695.5</f>
        <v>26.200000000000045</v>
      </c>
      <c r="G75" s="52">
        <f t="shared" si="19"/>
        <v>5.4393326938302629</v>
      </c>
      <c r="H75" s="13">
        <f t="shared" si="20"/>
        <v>7.0210314025105163</v>
      </c>
      <c r="I75" s="14"/>
    </row>
    <row r="76" spans="1:9" ht="17" x14ac:dyDescent="0.2">
      <c r="A76" s="17" t="s">
        <v>16</v>
      </c>
      <c r="B76" s="10">
        <v>10</v>
      </c>
      <c r="C76" s="10">
        <v>10</v>
      </c>
      <c r="D76" s="9">
        <f t="shared" si="18"/>
        <v>10</v>
      </c>
      <c r="E76" s="17">
        <v>1</v>
      </c>
      <c r="F76" s="70">
        <f>1725.6-1673.7</f>
        <v>51.899999999999864</v>
      </c>
      <c r="G76" s="52">
        <f t="shared" si="19"/>
        <v>3</v>
      </c>
      <c r="H76" s="13">
        <f t="shared" si="20"/>
        <v>4.2848326421515432</v>
      </c>
      <c r="I76" s="14"/>
    </row>
    <row r="77" spans="1:9" x14ac:dyDescent="0.2">
      <c r="A77" s="8"/>
      <c r="B77" s="9"/>
      <c r="C77" s="9"/>
      <c r="D77" s="9"/>
      <c r="E77" s="26"/>
      <c r="F77" s="8"/>
      <c r="G77" s="52"/>
      <c r="H77" s="13"/>
      <c r="I77" s="14"/>
    </row>
    <row r="78" spans="1:9" ht="51" x14ac:dyDescent="0.2">
      <c r="A78" s="2" t="s">
        <v>29</v>
      </c>
      <c r="B78" s="81" t="s">
        <v>0</v>
      </c>
      <c r="C78" s="81"/>
      <c r="D78" s="35" t="s">
        <v>1</v>
      </c>
      <c r="E78" s="35" t="s">
        <v>3</v>
      </c>
      <c r="F78" s="69" t="s">
        <v>2</v>
      </c>
      <c r="G78" s="51" t="s">
        <v>11</v>
      </c>
      <c r="H78" s="12" t="s">
        <v>10</v>
      </c>
      <c r="I78" s="14"/>
    </row>
    <row r="79" spans="1:9" x14ac:dyDescent="0.2">
      <c r="A79" s="8" t="s">
        <v>19</v>
      </c>
      <c r="B79">
        <v>86</v>
      </c>
      <c r="C79">
        <v>83</v>
      </c>
      <c r="D79">
        <f>AVERAGE(B79:C79)</f>
        <v>84.5</v>
      </c>
      <c r="E79" s="1">
        <v>1000</v>
      </c>
      <c r="F79" s="4">
        <f>1669.4-1632.7</f>
        <v>36.700000000000045</v>
      </c>
      <c r="G79" s="52">
        <f>LOG10(D79*E79*100)</f>
        <v>6.9268567089496926</v>
      </c>
      <c r="H79" s="13">
        <f>LOG10(D79*100*E79/F79*1000)</f>
        <v>8.362190644697602</v>
      </c>
      <c r="I79" s="14"/>
    </row>
    <row r="80" spans="1:9" x14ac:dyDescent="0.2">
      <c r="A80" s="8" t="s">
        <v>20</v>
      </c>
      <c r="B80" s="9">
        <v>24</v>
      </c>
      <c r="C80" s="9">
        <v>29</v>
      </c>
      <c r="D80" s="9">
        <f t="shared" ref="D80:D87" si="21">AVERAGE(B80:C80)</f>
        <v>26.5</v>
      </c>
      <c r="E80" s="26">
        <v>1000</v>
      </c>
      <c r="F80" s="8">
        <f>1663.2-1642.5</f>
        <v>20.700000000000045</v>
      </c>
      <c r="G80" s="52">
        <f t="shared" ref="G80:G87" si="22">LOG10(D80*E80*100)</f>
        <v>6.4232458739368079</v>
      </c>
      <c r="H80" s="13">
        <f>LOG10(D80*100*E80/F80*1000)</f>
        <v>8.1072755284798887</v>
      </c>
      <c r="I80" s="14"/>
    </row>
    <row r="81" spans="1:9" x14ac:dyDescent="0.2">
      <c r="A81" s="8" t="s">
        <v>12</v>
      </c>
      <c r="B81" s="9">
        <v>3</v>
      </c>
      <c r="C81" s="9">
        <v>5</v>
      </c>
      <c r="D81" s="9">
        <f t="shared" si="21"/>
        <v>4</v>
      </c>
      <c r="E81" s="26">
        <v>1000</v>
      </c>
      <c r="F81" s="8">
        <f>1623.4-1606.5</f>
        <v>16.900000000000091</v>
      </c>
      <c r="G81" s="52">
        <f t="shared" si="22"/>
        <v>5.6020599913279625</v>
      </c>
      <c r="H81" s="13">
        <f t="shared" ref="H81:H87" si="23">LOG10(D81*100*E81/F81*1000)</f>
        <v>7.3741732867142868</v>
      </c>
      <c r="I81" s="14"/>
    </row>
    <row r="82" spans="1:9" x14ac:dyDescent="0.2">
      <c r="A82" s="8" t="s">
        <v>21</v>
      </c>
      <c r="B82" s="9">
        <v>15</v>
      </c>
      <c r="C82" s="9">
        <v>15</v>
      </c>
      <c r="D82" s="9">
        <f t="shared" si="21"/>
        <v>15</v>
      </c>
      <c r="E82" s="26">
        <v>1000</v>
      </c>
      <c r="F82" s="8">
        <f>1858.8-1835</f>
        <v>23.799999999999955</v>
      </c>
      <c r="G82" s="52">
        <f t="shared" si="22"/>
        <v>6.1760912590556813</v>
      </c>
      <c r="H82" s="13">
        <f t="shared" si="23"/>
        <v>7.79951430199917</v>
      </c>
      <c r="I82" s="14"/>
    </row>
    <row r="83" spans="1:9" ht="17" x14ac:dyDescent="0.2">
      <c r="A83" s="17" t="s">
        <v>13</v>
      </c>
      <c r="B83" s="10">
        <v>73</v>
      </c>
      <c r="C83" s="10">
        <v>61</v>
      </c>
      <c r="D83" s="9">
        <f t="shared" si="21"/>
        <v>67</v>
      </c>
      <c r="E83" s="17">
        <v>1000</v>
      </c>
      <c r="F83" s="70">
        <f>1741-1685.4</f>
        <v>55.599999999999909</v>
      </c>
      <c r="G83" s="52">
        <f t="shared" si="22"/>
        <v>6.826074802700826</v>
      </c>
      <c r="H83" s="13">
        <f t="shared" si="23"/>
        <v>8.0810000111187694</v>
      </c>
      <c r="I83" s="14"/>
    </row>
    <row r="84" spans="1:9" ht="17" x14ac:dyDescent="0.2">
      <c r="A84" s="17" t="s">
        <v>22</v>
      </c>
      <c r="B84" s="10">
        <v>21</v>
      </c>
      <c r="C84" s="10">
        <v>18</v>
      </c>
      <c r="D84" s="9">
        <f t="shared" si="21"/>
        <v>19.5</v>
      </c>
      <c r="E84" s="17">
        <v>1000</v>
      </c>
      <c r="F84" s="70">
        <f>1726.1-1690.5</f>
        <v>35.599999999999909</v>
      </c>
      <c r="G84" s="52">
        <f t="shared" si="22"/>
        <v>6.2900346113625183</v>
      </c>
      <c r="H84" s="13">
        <f t="shared" si="23"/>
        <v>7.7385846133896443</v>
      </c>
      <c r="I84" s="14"/>
    </row>
    <row r="85" spans="1:9" ht="17" x14ac:dyDescent="0.2">
      <c r="A85" s="17" t="s">
        <v>14</v>
      </c>
      <c r="B85" s="10">
        <v>36</v>
      </c>
      <c r="C85" s="10">
        <v>30</v>
      </c>
      <c r="D85" s="9">
        <f t="shared" si="21"/>
        <v>33</v>
      </c>
      <c r="E85" s="17">
        <v>1000</v>
      </c>
      <c r="F85" s="70">
        <f>1733.2-1702.5</f>
        <v>30.700000000000045</v>
      </c>
      <c r="G85" s="52">
        <f t="shared" si="22"/>
        <v>6.5185139398778871</v>
      </c>
      <c r="H85" s="13">
        <f t="shared" si="23"/>
        <v>8.031375564400701</v>
      </c>
      <c r="I85" s="14"/>
    </row>
    <row r="86" spans="1:9" ht="17" x14ac:dyDescent="0.2">
      <c r="A86" s="17" t="s">
        <v>15</v>
      </c>
      <c r="B86" s="10">
        <v>41</v>
      </c>
      <c r="C86" s="10">
        <v>36</v>
      </c>
      <c r="D86" s="9">
        <f t="shared" si="21"/>
        <v>38.5</v>
      </c>
      <c r="E86" s="17">
        <v>100</v>
      </c>
      <c r="F86" s="70">
        <f>1655.7-1626.8</f>
        <v>28.900000000000091</v>
      </c>
      <c r="G86" s="52">
        <f t="shared" si="22"/>
        <v>5.585460729508501</v>
      </c>
      <c r="H86" s="13">
        <f t="shared" si="23"/>
        <v>7.124562886751951</v>
      </c>
      <c r="I86" s="14"/>
    </row>
    <row r="87" spans="1:9" ht="17" x14ac:dyDescent="0.2">
      <c r="A87" s="17" t="s">
        <v>16</v>
      </c>
      <c r="B87" s="10">
        <v>29</v>
      </c>
      <c r="C87" s="10">
        <v>25</v>
      </c>
      <c r="D87" s="9">
        <f t="shared" si="21"/>
        <v>27</v>
      </c>
      <c r="E87" s="17">
        <v>1</v>
      </c>
      <c r="F87" s="70">
        <f>1641-1625.4</f>
        <v>15.599999999999909</v>
      </c>
      <c r="G87" s="52">
        <f t="shared" si="22"/>
        <v>3.4313637641589874</v>
      </c>
      <c r="H87" s="13">
        <f t="shared" si="23"/>
        <v>5.2382391658045284</v>
      </c>
      <c r="I87" s="14"/>
    </row>
    <row r="88" spans="1:9" s="28" customFormat="1" x14ac:dyDescent="0.2">
      <c r="A88" s="2"/>
      <c r="B88" s="81"/>
      <c r="C88" s="81"/>
      <c r="D88" s="35"/>
      <c r="E88" s="35"/>
      <c r="F88" s="69"/>
      <c r="G88" s="51"/>
      <c r="H88" s="61"/>
      <c r="I88" s="64"/>
    </row>
    <row r="89" spans="1:9" ht="51" x14ac:dyDescent="0.2">
      <c r="A89" s="2" t="s">
        <v>30</v>
      </c>
      <c r="B89" s="81" t="s">
        <v>0</v>
      </c>
      <c r="C89" s="81"/>
      <c r="D89" s="35" t="s">
        <v>1</v>
      </c>
      <c r="E89" s="35" t="s">
        <v>3</v>
      </c>
      <c r="F89" s="69" t="s">
        <v>2</v>
      </c>
      <c r="G89" s="51" t="s">
        <v>11</v>
      </c>
      <c r="H89" s="12" t="s">
        <v>10</v>
      </c>
      <c r="I89" s="14"/>
    </row>
    <row r="90" spans="1:9" x14ac:dyDescent="0.2">
      <c r="A90" s="8" t="s">
        <v>19</v>
      </c>
      <c r="B90">
        <v>15</v>
      </c>
      <c r="C90">
        <v>24</v>
      </c>
      <c r="D90">
        <f>AVERAGE(B90:C90)</f>
        <v>19.5</v>
      </c>
      <c r="E90" s="1">
        <v>10000</v>
      </c>
      <c r="F90" s="4">
        <f>1772.9-1670.4</f>
        <v>102.5</v>
      </c>
      <c r="G90" s="52">
        <f>LOG10(D90*E90*100)</f>
        <v>7.2900346113625183</v>
      </c>
      <c r="H90" s="13">
        <f>LOG10(D90*100*E90/F90*1000)</f>
        <v>8.2793107459707453</v>
      </c>
      <c r="I90" s="14"/>
    </row>
    <row r="91" spans="1:9" x14ac:dyDescent="0.2">
      <c r="A91" s="8" t="s">
        <v>20</v>
      </c>
      <c r="B91" s="9">
        <v>5</v>
      </c>
      <c r="C91" s="9">
        <v>5</v>
      </c>
      <c r="D91" s="9">
        <f t="shared" ref="D91:D98" si="24">AVERAGE(B91:C91)</f>
        <v>5</v>
      </c>
      <c r="E91" s="26">
        <v>10000</v>
      </c>
      <c r="F91" s="8">
        <f>1766.6-1660</f>
        <v>106.59999999999991</v>
      </c>
      <c r="G91" s="52">
        <f t="shared" ref="G91:G98" si="25">LOG10(D91*E91*100)</f>
        <v>6.6989700043360187</v>
      </c>
      <c r="H91" s="13">
        <f>LOG10(D91*100*E91/F91*1000)</f>
        <v>7.671212799645466</v>
      </c>
      <c r="I91" s="14"/>
    </row>
    <row r="92" spans="1:9" x14ac:dyDescent="0.2">
      <c r="A92" s="8" t="s">
        <v>12</v>
      </c>
      <c r="B92" s="9">
        <v>83</v>
      </c>
      <c r="C92" s="9">
        <v>75</v>
      </c>
      <c r="D92" s="9">
        <f t="shared" si="24"/>
        <v>79</v>
      </c>
      <c r="E92" s="26">
        <v>1000</v>
      </c>
      <c r="F92" s="8">
        <f>1786.7-1748.7</f>
        <v>38</v>
      </c>
      <c r="G92" s="52">
        <f t="shared" si="25"/>
        <v>6.8976270912904418</v>
      </c>
      <c r="H92" s="13">
        <f t="shared" ref="H92:H98" si="26">LOG10(D92*100*E92/F92*1000)</f>
        <v>8.3178434946736317</v>
      </c>
      <c r="I92" s="12"/>
    </row>
    <row r="93" spans="1:9" x14ac:dyDescent="0.2">
      <c r="A93" s="8" t="s">
        <v>21</v>
      </c>
      <c r="B93" s="9">
        <v>58</v>
      </c>
      <c r="C93" s="9">
        <v>65</v>
      </c>
      <c r="D93" s="9">
        <f t="shared" si="24"/>
        <v>61.5</v>
      </c>
      <c r="E93" s="26">
        <v>1000</v>
      </c>
      <c r="F93" s="8">
        <f>1844.8-1818</f>
        <v>26.799999999999955</v>
      </c>
      <c r="G93" s="52">
        <f t="shared" si="25"/>
        <v>6.7888751157754168</v>
      </c>
      <c r="H93" s="13">
        <f t="shared" si="26"/>
        <v>8.3607403217466292</v>
      </c>
      <c r="I93" s="14"/>
    </row>
    <row r="94" spans="1:9" ht="17" x14ac:dyDescent="0.2">
      <c r="A94" s="17" t="s">
        <v>13</v>
      </c>
      <c r="B94" s="10">
        <v>51</v>
      </c>
      <c r="C94" s="10">
        <v>32</v>
      </c>
      <c r="D94" s="9">
        <f t="shared" si="24"/>
        <v>41.5</v>
      </c>
      <c r="E94" s="17">
        <v>1000</v>
      </c>
      <c r="F94" s="70">
        <f>1699-1675.4</f>
        <v>23.599999999999909</v>
      </c>
      <c r="G94" s="52">
        <f t="shared" si="25"/>
        <v>6.6180480967120925</v>
      </c>
      <c r="H94" s="13">
        <f t="shared" si="26"/>
        <v>8.2451360937419871</v>
      </c>
      <c r="I94" s="14"/>
    </row>
    <row r="95" spans="1:9" ht="17" x14ac:dyDescent="0.2">
      <c r="A95" s="17" t="s">
        <v>22</v>
      </c>
      <c r="B95" s="10">
        <v>23</v>
      </c>
      <c r="C95" s="10"/>
      <c r="D95" s="9">
        <f t="shared" si="24"/>
        <v>23</v>
      </c>
      <c r="E95" s="17">
        <v>1000</v>
      </c>
      <c r="F95" s="70">
        <f>1707.7-1691.8</f>
        <v>15.900000000000091</v>
      </c>
      <c r="G95" s="52">
        <f t="shared" si="25"/>
        <v>6.3617278360175931</v>
      </c>
      <c r="H95" s="13">
        <f t="shared" si="26"/>
        <v>8.1603307116971386</v>
      </c>
      <c r="I95" s="14"/>
    </row>
    <row r="96" spans="1:9" ht="17" x14ac:dyDescent="0.2">
      <c r="A96" s="17" t="s">
        <v>14</v>
      </c>
      <c r="B96" s="10">
        <v>30</v>
      </c>
      <c r="C96" s="10">
        <v>33</v>
      </c>
      <c r="D96" s="9">
        <f t="shared" si="24"/>
        <v>31.5</v>
      </c>
      <c r="E96" s="17">
        <v>1000</v>
      </c>
      <c r="F96" s="70">
        <f>1792.7-1741.8</f>
        <v>50.900000000000091</v>
      </c>
      <c r="G96" s="52">
        <f t="shared" si="25"/>
        <v>6.4983105537896009</v>
      </c>
      <c r="H96" s="13">
        <f t="shared" si="26"/>
        <v>7.7915927714528408</v>
      </c>
      <c r="I96" s="14"/>
    </row>
    <row r="97" spans="1:9" ht="17" x14ac:dyDescent="0.2">
      <c r="A97" s="17" t="s">
        <v>15</v>
      </c>
      <c r="B97" s="10">
        <v>111</v>
      </c>
      <c r="C97" s="10">
        <v>108</v>
      </c>
      <c r="D97" s="9">
        <f t="shared" si="24"/>
        <v>109.5</v>
      </c>
      <c r="E97" s="17">
        <v>100</v>
      </c>
      <c r="F97" s="70">
        <f>1895.1-1850</f>
        <v>45.099999999999909</v>
      </c>
      <c r="G97" s="52">
        <f t="shared" si="25"/>
        <v>6.0394141191761372</v>
      </c>
      <c r="H97" s="13">
        <f t="shared" si="26"/>
        <v>7.3852375772981773</v>
      </c>
      <c r="I97" s="14"/>
    </row>
    <row r="98" spans="1:9" ht="17" x14ac:dyDescent="0.2">
      <c r="A98" s="17" t="s">
        <v>16</v>
      </c>
      <c r="B98" s="10">
        <v>78</v>
      </c>
      <c r="C98" s="10">
        <v>78</v>
      </c>
      <c r="D98" s="9">
        <f t="shared" si="24"/>
        <v>78</v>
      </c>
      <c r="E98" s="17">
        <v>100</v>
      </c>
      <c r="F98" s="70">
        <f>1793.1-1776.3</f>
        <v>16.799999999999955</v>
      </c>
      <c r="G98" s="52">
        <f t="shared" si="25"/>
        <v>5.8920946026904808</v>
      </c>
      <c r="H98" s="13">
        <f t="shared" si="26"/>
        <v>7.6667853209646184</v>
      </c>
      <c r="I98" s="14"/>
    </row>
    <row r="99" spans="1:9" x14ac:dyDescent="0.2">
      <c r="A99" s="8"/>
      <c r="B99" s="9"/>
      <c r="C99" s="9"/>
      <c r="D99" s="9"/>
      <c r="E99" s="26"/>
      <c r="F99" s="8"/>
      <c r="G99" s="52"/>
      <c r="H99" s="13"/>
      <c r="I99" s="14"/>
    </row>
    <row r="100" spans="1:9" ht="51" x14ac:dyDescent="0.2">
      <c r="A100" s="2" t="s">
        <v>31</v>
      </c>
      <c r="B100" s="81" t="s">
        <v>0</v>
      </c>
      <c r="C100" s="81"/>
      <c r="D100" s="35" t="s">
        <v>1</v>
      </c>
      <c r="E100" s="35" t="s">
        <v>3</v>
      </c>
      <c r="F100" s="69" t="s">
        <v>2</v>
      </c>
      <c r="G100" s="51" t="s">
        <v>11</v>
      </c>
      <c r="H100" s="12" t="s">
        <v>10</v>
      </c>
      <c r="I100" s="14"/>
    </row>
    <row r="101" spans="1:9" x14ac:dyDescent="0.2">
      <c r="A101" s="8" t="s">
        <v>19</v>
      </c>
      <c r="B101">
        <v>30</v>
      </c>
      <c r="C101">
        <v>27</v>
      </c>
      <c r="D101">
        <f>AVERAGE(B101:C101)</f>
        <v>28.5</v>
      </c>
      <c r="E101" s="1">
        <v>100</v>
      </c>
      <c r="F101" s="8">
        <f>1898.3-1859.4</f>
        <v>38.899999999999864</v>
      </c>
      <c r="G101" s="52">
        <f>LOG10(D101*E101*100)</f>
        <v>5.4548448600085102</v>
      </c>
      <c r="H101" s="13">
        <f>LOG10(D101*100*E101/F101*1000)</f>
        <v>6.8648952586828038</v>
      </c>
      <c r="I101" s="14"/>
    </row>
    <row r="102" spans="1:9" x14ac:dyDescent="0.2">
      <c r="A102" s="8" t="s">
        <v>20</v>
      </c>
      <c r="B102" s="9">
        <v>35</v>
      </c>
      <c r="C102" s="9">
        <v>40</v>
      </c>
      <c r="D102" s="9">
        <f t="shared" ref="D102:D109" si="27">AVERAGE(B102:C102)</f>
        <v>37.5</v>
      </c>
      <c r="E102" s="26">
        <v>1000</v>
      </c>
      <c r="F102" s="4">
        <f>1863.2-1840.1</f>
        <v>23.100000000000136</v>
      </c>
      <c r="G102" s="52">
        <f t="shared" ref="G102:G109" si="28">LOG10(D102*E102*100)</f>
        <v>6.5740312677277188</v>
      </c>
      <c r="H102" s="13">
        <f>LOG10(D102*100*E102/F102*1000)</f>
        <v>8.2104192878355722</v>
      </c>
      <c r="I102" s="14"/>
    </row>
    <row r="103" spans="1:9" x14ac:dyDescent="0.2">
      <c r="A103" s="8" t="s">
        <v>12</v>
      </c>
      <c r="B103" s="9">
        <v>46</v>
      </c>
      <c r="C103" s="9">
        <v>42</v>
      </c>
      <c r="D103" s="9">
        <f t="shared" si="27"/>
        <v>44</v>
      </c>
      <c r="E103" s="26">
        <v>1000</v>
      </c>
      <c r="F103" s="8">
        <f>1830.1-1786.5</f>
        <v>43.599999999999909</v>
      </c>
      <c r="G103" s="52">
        <f t="shared" si="28"/>
        <v>6.6434526764861879</v>
      </c>
      <c r="H103" s="13">
        <f>LOG10(D103*100*E103/F103*1000)</f>
        <v>8.0039661872176016</v>
      </c>
      <c r="I103" s="14"/>
    </row>
    <row r="104" spans="1:9" x14ac:dyDescent="0.2">
      <c r="A104" s="8" t="s">
        <v>21</v>
      </c>
      <c r="B104" s="9">
        <v>11</v>
      </c>
      <c r="C104" s="9">
        <v>10</v>
      </c>
      <c r="D104" s="9">
        <f t="shared" si="27"/>
        <v>10.5</v>
      </c>
      <c r="E104" s="26">
        <v>1000</v>
      </c>
      <c r="F104" s="8">
        <f>1651.7-1624.2</f>
        <v>27.5</v>
      </c>
      <c r="G104" s="52">
        <f t="shared" si="28"/>
        <v>6.0211892990699383</v>
      </c>
      <c r="H104" s="13">
        <f t="shared" ref="H104:H109" si="29">LOG10(D104*100*E104/F104*1000)</f>
        <v>7.5818566052396754</v>
      </c>
      <c r="I104" s="14"/>
    </row>
    <row r="105" spans="1:9" ht="17" x14ac:dyDescent="0.2">
      <c r="A105" s="17" t="s">
        <v>13</v>
      </c>
      <c r="B105" s="10">
        <v>20</v>
      </c>
      <c r="C105" s="10">
        <v>21</v>
      </c>
      <c r="D105" s="9">
        <f t="shared" si="27"/>
        <v>20.5</v>
      </c>
      <c r="E105" s="17">
        <v>1000</v>
      </c>
      <c r="F105" s="70">
        <f>1622.1-1599.1</f>
        <v>23</v>
      </c>
      <c r="G105" s="52">
        <f t="shared" si="28"/>
        <v>6.3117538610557542</v>
      </c>
      <c r="H105" s="13">
        <f t="shared" si="29"/>
        <v>7.9500260250381611</v>
      </c>
      <c r="I105" s="14"/>
    </row>
    <row r="106" spans="1:9" ht="17" x14ac:dyDescent="0.2">
      <c r="A106" s="17" t="s">
        <v>22</v>
      </c>
      <c r="B106" s="10">
        <v>14</v>
      </c>
      <c r="C106" s="10">
        <v>24</v>
      </c>
      <c r="D106" s="9">
        <f t="shared" si="27"/>
        <v>19</v>
      </c>
      <c r="E106" s="17">
        <v>1000</v>
      </c>
      <c r="F106" s="70">
        <f>1650.9-1626.1</f>
        <v>24.800000000000182</v>
      </c>
      <c r="G106" s="52">
        <f t="shared" si="28"/>
        <v>6.2787536009528289</v>
      </c>
      <c r="H106" s="13">
        <f t="shared" si="29"/>
        <v>7.8843019201266094</v>
      </c>
      <c r="I106" s="14"/>
    </row>
    <row r="107" spans="1:9" ht="17" x14ac:dyDescent="0.2">
      <c r="A107" s="17" t="s">
        <v>14</v>
      </c>
      <c r="B107" s="10">
        <v>11</v>
      </c>
      <c r="C107" s="10">
        <v>6</v>
      </c>
      <c r="D107" s="9">
        <f t="shared" si="27"/>
        <v>8.5</v>
      </c>
      <c r="E107" s="17">
        <v>1000</v>
      </c>
      <c r="F107" s="70">
        <f>1766.9-1747.7</f>
        <v>19.200000000000045</v>
      </c>
      <c r="G107" s="52">
        <f t="shared" si="28"/>
        <v>5.9294189257142929</v>
      </c>
      <c r="H107" s="13">
        <f t="shared" si="29"/>
        <v>7.6461176970107418</v>
      </c>
      <c r="I107" s="14"/>
    </row>
    <row r="108" spans="1:9" ht="17" x14ac:dyDescent="0.2">
      <c r="A108" s="17" t="s">
        <v>15</v>
      </c>
      <c r="B108" s="10">
        <v>63</v>
      </c>
      <c r="C108" s="10">
        <v>63</v>
      </c>
      <c r="D108" s="9">
        <f t="shared" si="27"/>
        <v>63</v>
      </c>
      <c r="E108" s="17">
        <v>100</v>
      </c>
      <c r="F108" s="70">
        <f>1717.6-1698.5</f>
        <v>19.099999999999909</v>
      </c>
      <c r="G108" s="52">
        <f t="shared" si="28"/>
        <v>5.7993405494535821</v>
      </c>
      <c r="H108" s="13">
        <f t="shared" si="29"/>
        <v>7.5183071822058558</v>
      </c>
      <c r="I108" s="14"/>
    </row>
    <row r="109" spans="1:9" s="28" customFormat="1" ht="17" x14ac:dyDescent="0.2">
      <c r="A109" s="17" t="s">
        <v>16</v>
      </c>
      <c r="B109" s="10">
        <v>75</v>
      </c>
      <c r="C109" s="10">
        <v>65</v>
      </c>
      <c r="D109" s="9">
        <f t="shared" si="27"/>
        <v>70</v>
      </c>
      <c r="E109" s="17">
        <v>10</v>
      </c>
      <c r="F109" s="70">
        <f>1715.9-1691.1</f>
        <v>24.800000000000182</v>
      </c>
      <c r="G109" s="52">
        <f t="shared" si="28"/>
        <v>4.8450980400142569</v>
      </c>
      <c r="H109" s="13">
        <f t="shared" si="29"/>
        <v>6.4506463591880374</v>
      </c>
      <c r="I109" s="64"/>
    </row>
    <row r="110" spans="1:9" s="50" customFormat="1" x14ac:dyDescent="0.2">
      <c r="A110" s="65"/>
      <c r="B110" s="82"/>
      <c r="C110" s="82"/>
      <c r="D110" s="66"/>
      <c r="E110" s="66"/>
      <c r="F110" s="71"/>
      <c r="G110" s="68"/>
      <c r="H110" s="75"/>
      <c r="I110" s="49"/>
    </row>
    <row r="111" spans="1:9" ht="51" x14ac:dyDescent="0.2">
      <c r="A111" s="2" t="s">
        <v>32</v>
      </c>
      <c r="B111" s="81" t="s">
        <v>0</v>
      </c>
      <c r="C111" s="81"/>
      <c r="D111" s="35" t="s">
        <v>1</v>
      </c>
      <c r="E111" s="35" t="s">
        <v>3</v>
      </c>
      <c r="F111" s="69" t="s">
        <v>2</v>
      </c>
      <c r="G111" s="51" t="s">
        <v>11</v>
      </c>
      <c r="H111" s="12" t="s">
        <v>10</v>
      </c>
      <c r="I111" s="14"/>
    </row>
    <row r="112" spans="1:9" x14ac:dyDescent="0.2">
      <c r="A112" s="8" t="s">
        <v>19</v>
      </c>
      <c r="B112">
        <v>0</v>
      </c>
      <c r="C112">
        <v>0</v>
      </c>
      <c r="D112">
        <f>AVERAGE(B112:C112)</f>
        <v>0</v>
      </c>
      <c r="E112" s="1">
        <v>1</v>
      </c>
      <c r="F112" s="4">
        <f>1989-1959.7</f>
        <v>29.299999999999955</v>
      </c>
      <c r="G112" s="52" t="e">
        <f>LOG10(D112*E112*100)</f>
        <v>#NUM!</v>
      </c>
      <c r="H112" s="13" t="e">
        <f>LOG10(D112*100*E112/F112*1000)</f>
        <v>#NUM!</v>
      </c>
      <c r="I112" s="14"/>
    </row>
    <row r="113" spans="1:9" x14ac:dyDescent="0.2">
      <c r="A113" s="8" t="s">
        <v>20</v>
      </c>
      <c r="B113" s="9">
        <v>9</v>
      </c>
      <c r="C113" s="9">
        <v>18</v>
      </c>
      <c r="D113" s="9">
        <f t="shared" ref="D113:D120" si="30">AVERAGE(B113:C113)</f>
        <v>13.5</v>
      </c>
      <c r="E113" s="26">
        <v>10</v>
      </c>
      <c r="F113" s="8">
        <f>1720.7-1683.5</f>
        <v>37.200000000000045</v>
      </c>
      <c r="G113" s="52">
        <f t="shared" ref="G113:G120" si="31">LOG10(D113*E113*100)</f>
        <v>4.1303337684950066</v>
      </c>
      <c r="H113" s="13">
        <f>LOG10(D113*100*E113/F113*1000)</f>
        <v>5.5597908286131084</v>
      </c>
      <c r="I113" s="14"/>
    </row>
    <row r="114" spans="1:9" x14ac:dyDescent="0.2">
      <c r="A114" s="8" t="s">
        <v>12</v>
      </c>
      <c r="B114" s="9">
        <v>39</v>
      </c>
      <c r="C114" s="9">
        <v>36</v>
      </c>
      <c r="D114" s="9">
        <f t="shared" si="30"/>
        <v>37.5</v>
      </c>
      <c r="E114" s="26">
        <v>1</v>
      </c>
      <c r="F114" s="8">
        <f>1808.4-1792.1</f>
        <v>16.300000000000182</v>
      </c>
      <c r="G114" s="52">
        <f t="shared" si="31"/>
        <v>3.5740312677277188</v>
      </c>
      <c r="H114" s="13">
        <f t="shared" ref="H114:H120" si="32">LOG10(D114*100*E114/F114*1000)</f>
        <v>5.3618436633237563</v>
      </c>
      <c r="I114" s="14"/>
    </row>
    <row r="115" spans="1:9" x14ac:dyDescent="0.2">
      <c r="A115" s="8" t="s">
        <v>21</v>
      </c>
      <c r="B115" s="9">
        <v>17</v>
      </c>
      <c r="C115" s="9">
        <v>17</v>
      </c>
      <c r="D115" s="9">
        <f t="shared" si="30"/>
        <v>17</v>
      </c>
      <c r="E115" s="26">
        <v>10</v>
      </c>
      <c r="F115" s="8">
        <f>1740.5-1656.2</f>
        <v>84.299999999999955</v>
      </c>
      <c r="G115" s="52">
        <f t="shared" si="31"/>
        <v>4.2304489213782741</v>
      </c>
      <c r="H115" s="13">
        <f t="shared" si="32"/>
        <v>5.3046213467535317</v>
      </c>
      <c r="I115" s="14"/>
    </row>
    <row r="116" spans="1:9" ht="17" x14ac:dyDescent="0.2">
      <c r="A116" s="17" t="s">
        <v>13</v>
      </c>
      <c r="B116" s="10">
        <v>25</v>
      </c>
      <c r="C116" s="10">
        <v>37</v>
      </c>
      <c r="D116" s="9">
        <f t="shared" si="30"/>
        <v>31</v>
      </c>
      <c r="E116" s="17">
        <v>1</v>
      </c>
      <c r="F116" s="70">
        <f>1760.5-1633.3</f>
        <v>127.20000000000005</v>
      </c>
      <c r="G116" s="52">
        <f t="shared" si="31"/>
        <v>3.4913616938342726</v>
      </c>
      <c r="H116" s="13">
        <f t="shared" si="32"/>
        <v>4.3868745825218776</v>
      </c>
      <c r="I116" s="14"/>
    </row>
    <row r="117" spans="1:9" ht="17" x14ac:dyDescent="0.2">
      <c r="A117" s="17" t="s">
        <v>22</v>
      </c>
      <c r="B117" s="10">
        <v>1</v>
      </c>
      <c r="C117" s="10">
        <v>0</v>
      </c>
      <c r="D117" s="9">
        <f t="shared" si="30"/>
        <v>0.5</v>
      </c>
      <c r="E117" s="17">
        <v>1</v>
      </c>
      <c r="F117" s="70">
        <f>1784.6-1759.5</f>
        <v>25.099999999999909</v>
      </c>
      <c r="G117" s="52">
        <f t="shared" si="31"/>
        <v>1.6989700043360187</v>
      </c>
      <c r="H117" s="13">
        <f t="shared" si="32"/>
        <v>3.2992962828549821</v>
      </c>
      <c r="I117" s="14"/>
    </row>
    <row r="118" spans="1:9" ht="17" x14ac:dyDescent="0.2">
      <c r="A118" s="17" t="s">
        <v>14</v>
      </c>
      <c r="B118" s="10">
        <v>3</v>
      </c>
      <c r="C118" s="10">
        <v>5</v>
      </c>
      <c r="D118" s="9">
        <f t="shared" si="30"/>
        <v>4</v>
      </c>
      <c r="E118" s="17">
        <v>1</v>
      </c>
      <c r="F118" s="70">
        <f>1941.1-1720.6</f>
        <v>220.5</v>
      </c>
      <c r="G118" s="52">
        <f t="shared" si="31"/>
        <v>2.6020599913279625</v>
      </c>
      <c r="H118" s="13">
        <f t="shared" si="32"/>
        <v>3.2586513975241052</v>
      </c>
      <c r="I118" s="14"/>
    </row>
    <row r="119" spans="1:9" ht="18" customHeight="1" x14ac:dyDescent="0.2">
      <c r="A119" s="17" t="s">
        <v>15</v>
      </c>
      <c r="B119" s="10">
        <v>18</v>
      </c>
      <c r="C119" s="10">
        <v>18</v>
      </c>
      <c r="D119" s="9">
        <f t="shared" si="30"/>
        <v>18</v>
      </c>
      <c r="E119" s="17">
        <v>1</v>
      </c>
      <c r="F119" s="70">
        <f>2005.5-1894.7</f>
        <v>110.79999999999995</v>
      </c>
      <c r="G119" s="52">
        <f t="shared" si="31"/>
        <v>3.255272505103306</v>
      </c>
      <c r="H119" s="13">
        <f t="shared" si="32"/>
        <v>4.2107327447108949</v>
      </c>
      <c r="I119" s="12"/>
    </row>
    <row r="120" spans="1:9" ht="17" x14ac:dyDescent="0.2">
      <c r="A120" s="17" t="s">
        <v>16</v>
      </c>
      <c r="B120" s="10">
        <v>3</v>
      </c>
      <c r="C120" s="10">
        <v>1</v>
      </c>
      <c r="D120" s="9">
        <f t="shared" si="30"/>
        <v>2</v>
      </c>
      <c r="E120" s="17">
        <v>1</v>
      </c>
      <c r="F120" s="70">
        <f>1739.6-1691.5</f>
        <v>48.099999999999909</v>
      </c>
      <c r="G120" s="52">
        <f t="shared" si="31"/>
        <v>2.3010299956639813</v>
      </c>
      <c r="H120" s="13">
        <f t="shared" si="32"/>
        <v>3.6188849192901502</v>
      </c>
      <c r="I120" s="14"/>
    </row>
    <row r="121" spans="1:9" x14ac:dyDescent="0.2">
      <c r="A121" s="8"/>
      <c r="B121" s="9"/>
      <c r="C121" s="9"/>
      <c r="D121" s="9"/>
      <c r="E121" s="26"/>
      <c r="F121" s="8"/>
      <c r="G121" s="52"/>
      <c r="H121" s="13"/>
      <c r="I121" s="14"/>
    </row>
    <row r="122" spans="1:9" ht="51" x14ac:dyDescent="0.2">
      <c r="A122" s="2" t="s">
        <v>33</v>
      </c>
      <c r="B122" s="81" t="s">
        <v>0</v>
      </c>
      <c r="C122" s="81"/>
      <c r="D122" s="35" t="s">
        <v>1</v>
      </c>
      <c r="E122" s="35" t="s">
        <v>3</v>
      </c>
      <c r="F122" s="69" t="s">
        <v>2</v>
      </c>
      <c r="G122" s="51" t="s">
        <v>11</v>
      </c>
      <c r="H122" s="12" t="s">
        <v>10</v>
      </c>
      <c r="I122" s="14"/>
    </row>
    <row r="123" spans="1:9" x14ac:dyDescent="0.2">
      <c r="A123" s="8" t="s">
        <v>19</v>
      </c>
      <c r="B123">
        <v>60</v>
      </c>
      <c r="C123">
        <v>68</v>
      </c>
      <c r="D123">
        <f>AVERAGE(B123:C123)</f>
        <v>64</v>
      </c>
      <c r="E123" s="1">
        <v>1000</v>
      </c>
      <c r="F123" s="4">
        <f>1803.7-1768</f>
        <v>35.700000000000045</v>
      </c>
      <c r="G123" s="52">
        <f>LOG10(D123*E123*100)</f>
        <v>6.8061799739838875</v>
      </c>
      <c r="H123" s="13">
        <f>LOG10(D123*100*E123/F123*1000)</f>
        <v>8.2535117578716939</v>
      </c>
      <c r="I123" s="14"/>
    </row>
    <row r="124" spans="1:9" x14ac:dyDescent="0.2">
      <c r="A124" s="8" t="s">
        <v>20</v>
      </c>
      <c r="B124" s="9">
        <v>16</v>
      </c>
      <c r="C124" s="9">
        <v>13</v>
      </c>
      <c r="D124" s="9">
        <f t="shared" ref="D124:D131" si="33">AVERAGE(B124:C124)</f>
        <v>14.5</v>
      </c>
      <c r="E124" s="26">
        <v>1000</v>
      </c>
      <c r="F124" s="8">
        <f>1737.6-1722.5</f>
        <v>15.099999999999909</v>
      </c>
      <c r="G124" s="52">
        <f t="shared" ref="G124:G131" si="34">LOG10(D124*E124*100)</f>
        <v>6.1613680022349753</v>
      </c>
      <c r="H124" s="13">
        <f>LOG10(D124*100*E124/F124*1000)</f>
        <v>7.9823910549418082</v>
      </c>
      <c r="I124" s="14"/>
    </row>
    <row r="125" spans="1:9" x14ac:dyDescent="0.2">
      <c r="A125" s="8" t="s">
        <v>12</v>
      </c>
      <c r="B125" s="9">
        <v>32</v>
      </c>
      <c r="C125" s="9">
        <v>37</v>
      </c>
      <c r="D125" s="9">
        <f t="shared" si="33"/>
        <v>34.5</v>
      </c>
      <c r="E125" s="26">
        <v>100</v>
      </c>
      <c r="F125" s="8">
        <f>1797-1791</f>
        <v>6</v>
      </c>
      <c r="G125" s="52">
        <f t="shared" si="34"/>
        <v>5.5378190950732744</v>
      </c>
      <c r="H125" s="13">
        <f t="shared" ref="H125:H131" si="35">LOG10(D125*100*E125/F125*1000)</f>
        <v>7.7596678446896306</v>
      </c>
      <c r="I125" s="14"/>
    </row>
    <row r="126" spans="1:9" x14ac:dyDescent="0.2">
      <c r="A126" s="8" t="s">
        <v>21</v>
      </c>
      <c r="B126" s="9">
        <v>38</v>
      </c>
      <c r="C126" s="9">
        <v>32</v>
      </c>
      <c r="D126" s="9">
        <f t="shared" si="33"/>
        <v>35</v>
      </c>
      <c r="E126" s="26">
        <v>10</v>
      </c>
      <c r="F126" s="8">
        <f>1762.2-1744.7</f>
        <v>17.5</v>
      </c>
      <c r="G126" s="52">
        <f t="shared" si="34"/>
        <v>4.5440680443502757</v>
      </c>
      <c r="H126" s="13">
        <f t="shared" si="35"/>
        <v>6.3010299956639813</v>
      </c>
      <c r="I126" s="14"/>
    </row>
    <row r="127" spans="1:9" ht="17" x14ac:dyDescent="0.2">
      <c r="A127" s="17" t="s">
        <v>13</v>
      </c>
      <c r="B127" s="10">
        <v>18</v>
      </c>
      <c r="C127" s="10">
        <v>24</v>
      </c>
      <c r="D127" s="9">
        <f t="shared" si="33"/>
        <v>21</v>
      </c>
      <c r="E127" s="17">
        <v>10</v>
      </c>
      <c r="F127" s="70">
        <f>1684.7-1652.1</f>
        <v>32.600000000000136</v>
      </c>
      <c r="G127" s="52">
        <f t="shared" si="34"/>
        <v>4.3222192947339195</v>
      </c>
      <c r="H127" s="13">
        <f t="shared" si="35"/>
        <v>5.8090016946659784</v>
      </c>
      <c r="I127" s="14"/>
    </row>
    <row r="128" spans="1:9" ht="17" x14ac:dyDescent="0.2">
      <c r="A128" s="17" t="s">
        <v>22</v>
      </c>
      <c r="B128" s="10">
        <v>17</v>
      </c>
      <c r="C128" s="10">
        <v>16</v>
      </c>
      <c r="D128" s="9">
        <f t="shared" si="33"/>
        <v>16.5</v>
      </c>
      <c r="E128" s="17">
        <v>1</v>
      </c>
      <c r="F128" s="70">
        <f>1721.8-1705.1</f>
        <v>16.700000000000045</v>
      </c>
      <c r="G128" s="52">
        <f t="shared" si="34"/>
        <v>3.2174839442139063</v>
      </c>
      <c r="H128" s="13">
        <f t="shared" si="35"/>
        <v>4.9947674730663216</v>
      </c>
      <c r="I128" s="14"/>
    </row>
    <row r="129" spans="1:9" ht="17" x14ac:dyDescent="0.2">
      <c r="A129" s="17" t="s">
        <v>14</v>
      </c>
      <c r="B129" s="10">
        <v>13</v>
      </c>
      <c r="C129" s="10">
        <v>15</v>
      </c>
      <c r="D129" s="9">
        <f t="shared" si="33"/>
        <v>14</v>
      </c>
      <c r="E129" s="17">
        <v>10</v>
      </c>
      <c r="F129" s="70">
        <f>1851.5-1784.2</f>
        <v>67.299999999999955</v>
      </c>
      <c r="G129" s="52">
        <f t="shared" si="34"/>
        <v>4.1461280356782382</v>
      </c>
      <c r="H129" s="13">
        <f t="shared" si="35"/>
        <v>5.3181129714542612</v>
      </c>
      <c r="I129" s="14"/>
    </row>
    <row r="130" spans="1:9" s="28" customFormat="1" ht="17" x14ac:dyDescent="0.2">
      <c r="A130" s="17" t="s">
        <v>15</v>
      </c>
      <c r="B130" s="10">
        <v>0</v>
      </c>
      <c r="C130" s="10">
        <v>0</v>
      </c>
      <c r="D130" s="9">
        <f t="shared" si="33"/>
        <v>0</v>
      </c>
      <c r="E130" s="17">
        <v>1</v>
      </c>
      <c r="F130" s="70">
        <f>1715-1694.5</f>
        <v>20.5</v>
      </c>
      <c r="G130" s="52" t="e">
        <f t="shared" si="34"/>
        <v>#NUM!</v>
      </c>
      <c r="H130" s="13" t="e">
        <f t="shared" si="35"/>
        <v>#NUM!</v>
      </c>
      <c r="I130" s="64"/>
    </row>
    <row r="131" spans="1:9" ht="17" x14ac:dyDescent="0.2">
      <c r="A131" s="17" t="s">
        <v>16</v>
      </c>
      <c r="B131" s="10">
        <v>0</v>
      </c>
      <c r="C131" s="10">
        <v>0</v>
      </c>
      <c r="D131" s="9">
        <f t="shared" si="33"/>
        <v>0</v>
      </c>
      <c r="E131" s="17">
        <v>1</v>
      </c>
      <c r="F131" s="70">
        <f>1823.4-1807.1</f>
        <v>16.300000000000182</v>
      </c>
      <c r="G131" s="52" t="e">
        <f t="shared" si="34"/>
        <v>#NUM!</v>
      </c>
      <c r="H131" s="13" t="e">
        <f t="shared" si="35"/>
        <v>#NUM!</v>
      </c>
      <c r="I131" s="14"/>
    </row>
    <row r="132" spans="1:9" x14ac:dyDescent="0.2">
      <c r="A132" s="8"/>
      <c r="B132" s="9"/>
      <c r="C132" s="9"/>
      <c r="D132" s="9"/>
      <c r="E132" s="26"/>
      <c r="F132" s="8"/>
      <c r="G132" s="52"/>
      <c r="H132" s="13"/>
      <c r="I132" s="14"/>
    </row>
    <row r="133" spans="1:9" ht="51" x14ac:dyDescent="0.2">
      <c r="A133" s="2" t="s">
        <v>34</v>
      </c>
      <c r="B133" s="81" t="s">
        <v>0</v>
      </c>
      <c r="C133" s="81"/>
      <c r="D133" s="35" t="s">
        <v>1</v>
      </c>
      <c r="E133" s="35" t="s">
        <v>3</v>
      </c>
      <c r="F133" s="69" t="s">
        <v>2</v>
      </c>
      <c r="G133" s="51" t="s">
        <v>11</v>
      </c>
      <c r="H133" s="12" t="s">
        <v>10</v>
      </c>
      <c r="I133" s="14"/>
    </row>
    <row r="134" spans="1:9" x14ac:dyDescent="0.2">
      <c r="A134" s="8" t="s">
        <v>19</v>
      </c>
      <c r="B134">
        <v>0</v>
      </c>
      <c r="C134">
        <v>0</v>
      </c>
      <c r="D134">
        <f>AVERAGE(B134:C134)</f>
        <v>0</v>
      </c>
      <c r="E134" s="1">
        <v>1</v>
      </c>
      <c r="F134" s="4">
        <f>1756.4-1712</f>
        <v>44.400000000000091</v>
      </c>
      <c r="G134" s="52" t="e">
        <f>LOG10(D134*E134*100)</f>
        <v>#NUM!</v>
      </c>
      <c r="H134" s="13" t="e">
        <f>LOG10(D134*100*E134/F134*1000)</f>
        <v>#NUM!</v>
      </c>
      <c r="I134" s="14"/>
    </row>
    <row r="135" spans="1:9" x14ac:dyDescent="0.2">
      <c r="A135" s="8" t="s">
        <v>20</v>
      </c>
      <c r="B135" s="9">
        <v>29</v>
      </c>
      <c r="C135" s="9">
        <v>31</v>
      </c>
      <c r="D135" s="9">
        <f t="shared" ref="D135:D142" si="36">AVERAGE(B135:C135)</f>
        <v>30</v>
      </c>
      <c r="E135" s="26">
        <v>10</v>
      </c>
      <c r="F135" s="8">
        <f>1795.5-1756.9</f>
        <v>38.599999999999909</v>
      </c>
      <c r="G135" s="52">
        <f t="shared" ref="G135:G142" si="37">LOG10(D135*E135*100)</f>
        <v>4.4771212547196626</v>
      </c>
      <c r="H135" s="13">
        <f>LOG10(D135*100*E135/F135*1000)</f>
        <v>5.8905339500479084</v>
      </c>
      <c r="I135" s="14"/>
    </row>
    <row r="136" spans="1:9" x14ac:dyDescent="0.2">
      <c r="A136" s="8" t="s">
        <v>12</v>
      </c>
      <c r="B136" s="9">
        <v>11</v>
      </c>
      <c r="C136" s="9">
        <v>22</v>
      </c>
      <c r="D136" s="9">
        <f t="shared" si="36"/>
        <v>16.5</v>
      </c>
      <c r="E136" s="26">
        <v>1</v>
      </c>
      <c r="F136" s="8">
        <f>1715.7-1693</f>
        <v>22.700000000000045</v>
      </c>
      <c r="G136" s="52">
        <f t="shared" si="37"/>
        <v>3.2174839442139063</v>
      </c>
      <c r="H136" s="13">
        <f t="shared" ref="H136:H142" si="38">LOG10(D136*100*E136/F136*1000)</f>
        <v>4.8614580870207824</v>
      </c>
      <c r="I136" s="14"/>
    </row>
    <row r="137" spans="1:9" x14ac:dyDescent="0.2">
      <c r="A137" s="8" t="s">
        <v>21</v>
      </c>
      <c r="B137" s="9">
        <v>2</v>
      </c>
      <c r="C137" s="9">
        <v>0</v>
      </c>
      <c r="D137" s="9">
        <f t="shared" si="36"/>
        <v>1</v>
      </c>
      <c r="E137" s="26">
        <v>1</v>
      </c>
      <c r="F137" s="8">
        <f>1818.8-1757.9</f>
        <v>60.899999999999864</v>
      </c>
      <c r="G137" s="52">
        <f t="shared" si="37"/>
        <v>2</v>
      </c>
      <c r="H137" s="13">
        <f t="shared" si="38"/>
        <v>3.2153827073671257</v>
      </c>
      <c r="I137" s="14"/>
    </row>
    <row r="138" spans="1:9" ht="17" x14ac:dyDescent="0.2">
      <c r="A138" s="17" t="s">
        <v>13</v>
      </c>
      <c r="B138" s="10">
        <v>0</v>
      </c>
      <c r="C138" s="10">
        <v>0</v>
      </c>
      <c r="D138" s="9">
        <f t="shared" si="36"/>
        <v>0</v>
      </c>
      <c r="E138" s="17">
        <v>1</v>
      </c>
      <c r="F138" s="70">
        <f>1789.3-1738.5</f>
        <v>50.799999999999955</v>
      </c>
      <c r="G138" s="52" t="e">
        <f t="shared" si="37"/>
        <v>#NUM!</v>
      </c>
      <c r="H138" s="13" t="e">
        <f t="shared" si="38"/>
        <v>#NUM!</v>
      </c>
      <c r="I138" s="14"/>
    </row>
    <row r="139" spans="1:9" ht="17" x14ac:dyDescent="0.2">
      <c r="A139" s="17" t="s">
        <v>22</v>
      </c>
      <c r="B139" s="10">
        <v>8</v>
      </c>
      <c r="C139" s="10">
        <v>6</v>
      </c>
      <c r="D139" s="9">
        <f t="shared" si="36"/>
        <v>7</v>
      </c>
      <c r="E139" s="17">
        <v>1</v>
      </c>
      <c r="F139" s="70">
        <f>1816.4-1758.4</f>
        <v>58</v>
      </c>
      <c r="G139" s="52">
        <f t="shared" si="37"/>
        <v>2.8450980400142569</v>
      </c>
      <c r="H139" s="13">
        <f t="shared" si="38"/>
        <v>4.0816700464513191</v>
      </c>
      <c r="I139" s="14"/>
    </row>
    <row r="140" spans="1:9" ht="17" x14ac:dyDescent="0.2">
      <c r="A140" s="17" t="s">
        <v>14</v>
      </c>
      <c r="B140" s="10">
        <v>6</v>
      </c>
      <c r="C140" s="10">
        <v>10</v>
      </c>
      <c r="D140" s="9">
        <f t="shared" si="36"/>
        <v>8</v>
      </c>
      <c r="E140" s="17">
        <v>1</v>
      </c>
      <c r="F140" s="70">
        <f>1748.1-1626.9</f>
        <v>121.19999999999982</v>
      </c>
      <c r="G140" s="52">
        <f t="shared" si="37"/>
        <v>2.9030899869919438</v>
      </c>
      <c r="H140" s="13">
        <f t="shared" si="38"/>
        <v>3.8195873671616769</v>
      </c>
      <c r="I140" s="14"/>
    </row>
    <row r="141" spans="1:9" ht="17" x14ac:dyDescent="0.2">
      <c r="A141" s="17" t="s">
        <v>15</v>
      </c>
      <c r="B141" s="10">
        <v>0</v>
      </c>
      <c r="C141" s="10">
        <v>0</v>
      </c>
      <c r="D141" s="9">
        <f t="shared" si="36"/>
        <v>0</v>
      </c>
      <c r="E141" s="17">
        <v>1</v>
      </c>
      <c r="F141" s="70">
        <f>1747.5-1693.3</f>
        <v>54.200000000000045</v>
      </c>
      <c r="G141" s="52" t="e">
        <f t="shared" si="37"/>
        <v>#NUM!</v>
      </c>
      <c r="H141" s="13" t="e">
        <f t="shared" si="38"/>
        <v>#NUM!</v>
      </c>
      <c r="I141" s="14"/>
    </row>
    <row r="142" spans="1:9" ht="17" x14ac:dyDescent="0.2">
      <c r="A142" s="17" t="s">
        <v>16</v>
      </c>
      <c r="B142" s="10">
        <v>0</v>
      </c>
      <c r="C142" s="10">
        <v>0</v>
      </c>
      <c r="D142" s="9">
        <f t="shared" si="36"/>
        <v>0</v>
      </c>
      <c r="E142" s="17">
        <v>1</v>
      </c>
      <c r="F142" s="70">
        <f>1802.1-1735.3</f>
        <v>66.799999999999955</v>
      </c>
      <c r="G142" s="52" t="e">
        <f t="shared" si="37"/>
        <v>#NUM!</v>
      </c>
      <c r="H142" s="13" t="e">
        <f t="shared" si="38"/>
        <v>#NUM!</v>
      </c>
      <c r="I142" s="14"/>
    </row>
    <row r="143" spans="1:9" x14ac:dyDescent="0.2">
      <c r="A143" s="2"/>
      <c r="B143" s="81"/>
      <c r="C143" s="81"/>
      <c r="D143" s="35"/>
      <c r="E143" s="35"/>
      <c r="F143" s="69"/>
      <c r="G143" s="51"/>
      <c r="H143" s="61"/>
      <c r="I143" s="14"/>
    </row>
    <row r="144" spans="1:9" ht="51" x14ac:dyDescent="0.2">
      <c r="A144" s="2" t="s">
        <v>35</v>
      </c>
      <c r="B144" s="81" t="s">
        <v>0</v>
      </c>
      <c r="C144" s="81"/>
      <c r="D144" s="35" t="s">
        <v>1</v>
      </c>
      <c r="E144" s="35" t="s">
        <v>3</v>
      </c>
      <c r="F144" s="69" t="s">
        <v>2</v>
      </c>
      <c r="G144" s="51" t="s">
        <v>11</v>
      </c>
      <c r="H144" s="12" t="s">
        <v>10</v>
      </c>
      <c r="I144" s="14"/>
    </row>
    <row r="145" spans="1:9" x14ac:dyDescent="0.2">
      <c r="A145" s="8" t="s">
        <v>19</v>
      </c>
      <c r="B145">
        <v>9</v>
      </c>
      <c r="C145">
        <v>8</v>
      </c>
      <c r="D145">
        <f>AVERAGE(B145:C145)</f>
        <v>8.5</v>
      </c>
      <c r="E145" s="1">
        <v>100</v>
      </c>
      <c r="F145" s="4">
        <f>1763.9-1728.3</f>
        <v>35.600000000000136</v>
      </c>
      <c r="G145" s="52">
        <f>LOG10(D145*E145*100)</f>
        <v>4.9294189257142929</v>
      </c>
      <c r="H145" s="13">
        <f>LOG10(D145*100*E145/F145*1000)</f>
        <v>6.3779689277414162</v>
      </c>
      <c r="I145" s="14"/>
    </row>
    <row r="146" spans="1:9" x14ac:dyDescent="0.2">
      <c r="A146" s="8" t="s">
        <v>20</v>
      </c>
      <c r="B146" s="9">
        <v>23</v>
      </c>
      <c r="C146" s="9">
        <v>26</v>
      </c>
      <c r="D146" s="9">
        <f t="shared" ref="D146:D153" si="39">AVERAGE(B146:C146)</f>
        <v>24.5</v>
      </c>
      <c r="E146" s="26">
        <v>1</v>
      </c>
      <c r="F146" s="8">
        <f>1659.4-1639</f>
        <v>20.400000000000091</v>
      </c>
      <c r="G146" s="52">
        <f t="shared" ref="G146:G153" si="40">LOG10(D146*E146*100)</f>
        <v>3.3891660843645326</v>
      </c>
      <c r="H146" s="13">
        <f>LOG10(D146*100*E146/F146*1000)</f>
        <v>5.0795359169386316</v>
      </c>
      <c r="I146" s="14"/>
    </row>
    <row r="147" spans="1:9" x14ac:dyDescent="0.2">
      <c r="A147" s="8" t="s">
        <v>12</v>
      </c>
      <c r="B147" s="9">
        <v>13</v>
      </c>
      <c r="C147" s="9">
        <v>21</v>
      </c>
      <c r="D147" s="9">
        <f t="shared" si="39"/>
        <v>17</v>
      </c>
      <c r="E147" s="26">
        <v>1</v>
      </c>
      <c r="F147" s="8">
        <f>1715.1-1697.2</f>
        <v>17.899999999999864</v>
      </c>
      <c r="G147" s="52">
        <f t="shared" si="40"/>
        <v>3.2304489213782741</v>
      </c>
      <c r="H147" s="13">
        <f t="shared" ref="H147:H153" si="41">LOG10(D147*100*E147/F147*1000)</f>
        <v>4.9775958903983843</v>
      </c>
      <c r="I147" s="14"/>
    </row>
    <row r="148" spans="1:9" x14ac:dyDescent="0.2">
      <c r="A148" s="8" t="s">
        <v>21</v>
      </c>
      <c r="B148" s="9">
        <v>66</v>
      </c>
      <c r="C148" s="9">
        <v>65</v>
      </c>
      <c r="D148" s="9">
        <f t="shared" si="39"/>
        <v>65.5</v>
      </c>
      <c r="E148" s="26">
        <v>1</v>
      </c>
      <c r="F148" s="8">
        <f>1934.1-1837.9</f>
        <v>96.199999999999818</v>
      </c>
      <c r="G148" s="52">
        <f t="shared" si="40"/>
        <v>3.8162412999917832</v>
      </c>
      <c r="H148" s="13">
        <f t="shared" si="41"/>
        <v>4.8330662279539709</v>
      </c>
      <c r="I148" s="14"/>
    </row>
    <row r="149" spans="1:9" ht="17" x14ac:dyDescent="0.2">
      <c r="A149" s="17" t="s">
        <v>13</v>
      </c>
      <c r="B149" s="10">
        <v>13</v>
      </c>
      <c r="C149" s="10">
        <v>30</v>
      </c>
      <c r="D149" s="9">
        <f t="shared" si="39"/>
        <v>21.5</v>
      </c>
      <c r="E149" s="17">
        <v>1</v>
      </c>
      <c r="F149" s="70">
        <f>1692.2-1622.9</f>
        <v>69.299999999999955</v>
      </c>
      <c r="G149" s="52">
        <f t="shared" si="40"/>
        <v>3.3324384599156054</v>
      </c>
      <c r="H149" s="13">
        <f t="shared" si="41"/>
        <v>4.4917052253037992</v>
      </c>
      <c r="I149" s="14"/>
    </row>
    <row r="150" spans="1:9" ht="17" x14ac:dyDescent="0.2">
      <c r="A150" s="17" t="s">
        <v>22</v>
      </c>
      <c r="B150" s="10">
        <v>0</v>
      </c>
      <c r="C150" s="10">
        <v>0</v>
      </c>
      <c r="D150" s="9">
        <f t="shared" si="39"/>
        <v>0</v>
      </c>
      <c r="E150" s="17">
        <v>1</v>
      </c>
      <c r="F150" s="70">
        <f>1763.8-1729.7</f>
        <v>34.099999999999909</v>
      </c>
      <c r="G150" s="52" t="e">
        <f t="shared" si="40"/>
        <v>#NUM!</v>
      </c>
      <c r="H150" s="13" t="e">
        <f t="shared" si="41"/>
        <v>#NUM!</v>
      </c>
      <c r="I150" s="14"/>
    </row>
    <row r="151" spans="1:9" ht="17" x14ac:dyDescent="0.2">
      <c r="A151" s="17" t="s">
        <v>14</v>
      </c>
      <c r="B151" s="10">
        <v>1</v>
      </c>
      <c r="C151" s="10">
        <v>1</v>
      </c>
      <c r="D151" s="9">
        <f t="shared" si="39"/>
        <v>1</v>
      </c>
      <c r="E151" s="17">
        <v>1</v>
      </c>
      <c r="F151" s="70">
        <f>1913-1795.9</f>
        <v>117.09999999999991</v>
      </c>
      <c r="G151" s="52">
        <f t="shared" si="40"/>
        <v>2</v>
      </c>
      <c r="H151" s="13">
        <f t="shared" si="41"/>
        <v>2.931443104927637</v>
      </c>
      <c r="I151" s="14"/>
    </row>
    <row r="152" spans="1:9" ht="17" x14ac:dyDescent="0.2">
      <c r="A152" s="17" t="s">
        <v>15</v>
      </c>
      <c r="B152" s="10">
        <v>2</v>
      </c>
      <c r="C152" s="10">
        <v>1</v>
      </c>
      <c r="D152" s="9">
        <f t="shared" si="39"/>
        <v>1.5</v>
      </c>
      <c r="E152" s="17">
        <v>1</v>
      </c>
      <c r="F152" s="70">
        <f>1795.9-1716.7</f>
        <v>79.200000000000045</v>
      </c>
      <c r="G152" s="52">
        <f t="shared" si="40"/>
        <v>2.1760912590556813</v>
      </c>
      <c r="H152" s="13">
        <f t="shared" si="41"/>
        <v>3.2773660774661875</v>
      </c>
      <c r="I152" s="12"/>
    </row>
    <row r="153" spans="1:9" ht="17" x14ac:dyDescent="0.2">
      <c r="A153" s="17" t="s">
        <v>16</v>
      </c>
      <c r="B153" s="10">
        <v>1</v>
      </c>
      <c r="C153" s="10">
        <v>0</v>
      </c>
      <c r="D153" s="9">
        <f t="shared" si="39"/>
        <v>0.5</v>
      </c>
      <c r="E153" s="17">
        <v>1</v>
      </c>
      <c r="F153" s="70">
        <f>1749.5-1716.4</f>
        <v>33.099999999999909</v>
      </c>
      <c r="G153" s="52">
        <f t="shared" si="40"/>
        <v>1.6989700043360187</v>
      </c>
      <c r="H153" s="13">
        <f t="shared" si="41"/>
        <v>3.1791420105603012</v>
      </c>
      <c r="I153" s="14"/>
    </row>
    <row r="154" spans="1:9" x14ac:dyDescent="0.2">
      <c r="A154" s="8"/>
      <c r="B154" s="9"/>
      <c r="C154" s="9"/>
      <c r="D154" s="9"/>
      <c r="E154" s="26"/>
      <c r="F154" s="8"/>
      <c r="G154" s="52"/>
      <c r="H154" s="13"/>
      <c r="I154" s="14"/>
    </row>
    <row r="155" spans="1:9" ht="51" x14ac:dyDescent="0.2">
      <c r="A155" s="2" t="s">
        <v>36</v>
      </c>
      <c r="B155" s="81" t="s">
        <v>0</v>
      </c>
      <c r="C155" s="81"/>
      <c r="D155" s="35" t="s">
        <v>1</v>
      </c>
      <c r="E155" s="35" t="s">
        <v>3</v>
      </c>
      <c r="F155" s="69" t="s">
        <v>2</v>
      </c>
      <c r="G155" s="51" t="s">
        <v>11</v>
      </c>
      <c r="H155" s="12" t="s">
        <v>10</v>
      </c>
      <c r="I155" s="14"/>
    </row>
    <row r="156" spans="1:9" x14ac:dyDescent="0.2">
      <c r="A156" s="8" t="s">
        <v>19</v>
      </c>
      <c r="B156">
        <v>58</v>
      </c>
      <c r="C156">
        <v>53</v>
      </c>
      <c r="D156">
        <f>AVERAGE(B156:C156)</f>
        <v>55.5</v>
      </c>
      <c r="E156" s="1">
        <v>1000</v>
      </c>
      <c r="F156" s="4">
        <f>1867.8-1833.5</f>
        <v>34.299999999999955</v>
      </c>
      <c r="G156" s="52">
        <f>LOG10(D156*E156*100)</f>
        <v>6.7442929831226763</v>
      </c>
      <c r="H156" s="13">
        <f>LOG10(D156*100*E156/F156*1000)</f>
        <v>8.2089988630799056</v>
      </c>
      <c r="I156" s="14"/>
    </row>
    <row r="157" spans="1:9" x14ac:dyDescent="0.2">
      <c r="A157" s="8" t="s">
        <v>20</v>
      </c>
      <c r="B157" s="9">
        <v>27</v>
      </c>
      <c r="C157" s="9">
        <v>37</v>
      </c>
      <c r="D157" s="9">
        <f t="shared" ref="D157:D164" si="42">AVERAGE(B157:C157)</f>
        <v>32</v>
      </c>
      <c r="E157" s="26">
        <v>1000</v>
      </c>
      <c r="F157" s="8">
        <f>1677.8-1654.4</f>
        <v>23.399999999999864</v>
      </c>
      <c r="G157" s="52">
        <f t="shared" ref="G157:G164" si="43">LOG10(D157*E157*100)</f>
        <v>6.5051499783199063</v>
      </c>
      <c r="H157" s="13">
        <f>LOG10(D157*100*E157/F157*1000)</f>
        <v>8.1359341209097664</v>
      </c>
      <c r="I157" s="14"/>
    </row>
    <row r="158" spans="1:9" x14ac:dyDescent="0.2">
      <c r="A158" s="8" t="s">
        <v>12</v>
      </c>
      <c r="B158" s="9">
        <v>85</v>
      </c>
      <c r="C158" s="9">
        <v>83</v>
      </c>
      <c r="D158" s="9">
        <f t="shared" si="42"/>
        <v>84</v>
      </c>
      <c r="E158" s="26">
        <v>100</v>
      </c>
      <c r="F158" s="8">
        <f>1747.3-1736.2</f>
        <v>11.099999999999909</v>
      </c>
      <c r="G158" s="52">
        <f t="shared" si="43"/>
        <v>5.924279286061882</v>
      </c>
      <c r="H158" s="13">
        <f t="shared" ref="H158:H164" si="44">LOG10(D158*100*E158/F158*1000)</f>
        <v>7.878956307275228</v>
      </c>
      <c r="I158" s="14"/>
    </row>
    <row r="159" spans="1:9" x14ac:dyDescent="0.2">
      <c r="A159" s="8" t="s">
        <v>21</v>
      </c>
      <c r="B159" s="9">
        <v>34</v>
      </c>
      <c r="C159" s="9">
        <v>33</v>
      </c>
      <c r="D159" s="9">
        <f t="shared" si="42"/>
        <v>33.5</v>
      </c>
      <c r="E159" s="26">
        <v>100</v>
      </c>
      <c r="F159" s="8">
        <f>1713.7-1699.3</f>
        <v>14.400000000000091</v>
      </c>
      <c r="G159" s="52">
        <f t="shared" si="43"/>
        <v>5.5250448070368456</v>
      </c>
      <c r="H159" s="13">
        <f t="shared" si="44"/>
        <v>7.3666823149415928</v>
      </c>
      <c r="I159" s="14"/>
    </row>
    <row r="160" spans="1:9" ht="17" x14ac:dyDescent="0.2">
      <c r="A160" s="17" t="s">
        <v>13</v>
      </c>
      <c r="B160" s="10">
        <v>22</v>
      </c>
      <c r="C160" s="10">
        <v>41</v>
      </c>
      <c r="D160" s="9">
        <f t="shared" si="42"/>
        <v>31.5</v>
      </c>
      <c r="E160" s="17">
        <v>100</v>
      </c>
      <c r="F160" s="70">
        <f>1718.6-1670.7</f>
        <v>47.899999999999864</v>
      </c>
      <c r="G160" s="52">
        <f t="shared" si="43"/>
        <v>5.4983105537896009</v>
      </c>
      <c r="H160" s="13">
        <f t="shared" si="44"/>
        <v>6.8179750403750381</v>
      </c>
      <c r="I160" s="14"/>
    </row>
    <row r="161" spans="1:9" ht="17" x14ac:dyDescent="0.2">
      <c r="A161" s="17" t="s">
        <v>22</v>
      </c>
      <c r="B161" s="10">
        <v>40</v>
      </c>
      <c r="C161" s="10">
        <v>52</v>
      </c>
      <c r="D161" s="9">
        <f t="shared" si="42"/>
        <v>46</v>
      </c>
      <c r="E161" s="17">
        <v>10</v>
      </c>
      <c r="F161" s="70">
        <f>1731.9-1712.2</f>
        <v>19.700000000000045</v>
      </c>
      <c r="G161" s="52">
        <f t="shared" si="43"/>
        <v>4.6627578316815743</v>
      </c>
      <c r="H161" s="13">
        <f t="shared" si="44"/>
        <v>6.3682916055199801</v>
      </c>
      <c r="I161" s="14"/>
    </row>
    <row r="162" spans="1:9" ht="17" x14ac:dyDescent="0.2">
      <c r="A162" s="17" t="s">
        <v>14</v>
      </c>
      <c r="B162" s="10">
        <v>43</v>
      </c>
      <c r="C162" s="10">
        <v>45</v>
      </c>
      <c r="D162" s="9">
        <f t="shared" si="42"/>
        <v>44</v>
      </c>
      <c r="E162" s="17">
        <v>10</v>
      </c>
      <c r="F162" s="70">
        <f>1750-1634.6</f>
        <v>115.40000000000009</v>
      </c>
      <c r="G162" s="52">
        <f t="shared" si="43"/>
        <v>4.6434526764861879</v>
      </c>
      <c r="H162" s="13">
        <f t="shared" si="44"/>
        <v>5.5812468676664748</v>
      </c>
      <c r="I162" s="14"/>
    </row>
    <row r="163" spans="1:9" ht="17" x14ac:dyDescent="0.2">
      <c r="A163" s="17" t="s">
        <v>15</v>
      </c>
      <c r="B163" s="10">
        <v>23</v>
      </c>
      <c r="C163" s="10">
        <v>18</v>
      </c>
      <c r="D163" s="9">
        <f t="shared" si="42"/>
        <v>20.5</v>
      </c>
      <c r="E163" s="17">
        <v>1</v>
      </c>
      <c r="F163" s="70">
        <f>1833.8-1754.8</f>
        <v>79</v>
      </c>
      <c r="G163" s="52">
        <f t="shared" si="43"/>
        <v>3.3117538610557542</v>
      </c>
      <c r="H163" s="13">
        <f t="shared" si="44"/>
        <v>4.4141267697653133</v>
      </c>
      <c r="I163" s="14"/>
    </row>
    <row r="164" spans="1:9" ht="17" x14ac:dyDescent="0.2">
      <c r="A164" s="17" t="s">
        <v>16</v>
      </c>
      <c r="B164" s="10">
        <v>5</v>
      </c>
      <c r="C164" s="10">
        <v>6</v>
      </c>
      <c r="D164" s="9">
        <f t="shared" si="42"/>
        <v>5.5</v>
      </c>
      <c r="E164" s="17">
        <v>1</v>
      </c>
      <c r="F164" s="70">
        <f>1832.2-1789.8</f>
        <v>42.400000000000091</v>
      </c>
      <c r="G164" s="52">
        <f t="shared" si="43"/>
        <v>2.7403626894942437</v>
      </c>
      <c r="H164" s="13">
        <f t="shared" si="44"/>
        <v>4.1129968329015103</v>
      </c>
      <c r="I164" s="14"/>
    </row>
    <row r="165" spans="1:9" x14ac:dyDescent="0.2">
      <c r="A165" s="17"/>
      <c r="B165" s="11"/>
      <c r="C165" s="11"/>
      <c r="D165" s="34"/>
      <c r="E165" s="35"/>
      <c r="F165" s="69"/>
      <c r="G165" s="51"/>
      <c r="H165" s="13"/>
      <c r="I165" s="14"/>
    </row>
    <row r="166" spans="1:9" x14ac:dyDescent="0.2">
      <c r="A166" s="2"/>
      <c r="B166" s="11"/>
      <c r="C166" s="11"/>
      <c r="D166" s="34"/>
      <c r="E166" s="35"/>
      <c r="F166" s="69"/>
      <c r="G166" s="51"/>
      <c r="H166" s="12"/>
      <c r="I166" s="14"/>
    </row>
    <row r="167" spans="1:9" x14ac:dyDescent="0.2">
      <c r="A167" s="8"/>
      <c r="G167" s="52"/>
      <c r="H167" s="13"/>
      <c r="I167" s="14"/>
    </row>
    <row r="168" spans="1:9" x14ac:dyDescent="0.2">
      <c r="A168" s="8"/>
      <c r="B168" s="9"/>
      <c r="C168" s="9"/>
      <c r="D168" s="9"/>
      <c r="E168" s="26"/>
      <c r="F168" s="8"/>
      <c r="G168" s="53"/>
      <c r="H168" s="13"/>
      <c r="I168" s="14"/>
    </row>
    <row r="169" spans="1:9" x14ac:dyDescent="0.2">
      <c r="A169" s="8"/>
      <c r="B169" s="9"/>
      <c r="C169" s="9"/>
      <c r="D169" s="9"/>
      <c r="E169" s="26"/>
      <c r="F169" s="8"/>
      <c r="G169" s="53"/>
      <c r="H169" s="13"/>
      <c r="I169" s="14"/>
    </row>
    <row r="170" spans="1:9" x14ac:dyDescent="0.2">
      <c r="A170" s="8"/>
      <c r="B170" s="9"/>
      <c r="C170" s="9"/>
      <c r="D170" s="9"/>
      <c r="E170" s="26"/>
      <c r="F170" s="8"/>
      <c r="G170" s="53"/>
      <c r="H170" s="13"/>
      <c r="I170" s="14"/>
    </row>
    <row r="171" spans="1:9" x14ac:dyDescent="0.2">
      <c r="A171" s="17"/>
      <c r="B171" s="10"/>
      <c r="C171" s="10"/>
      <c r="D171" s="9"/>
      <c r="E171" s="17"/>
      <c r="F171" s="70"/>
      <c r="G171" s="54"/>
      <c r="H171" s="13"/>
      <c r="I171" s="14"/>
    </row>
    <row r="172" spans="1:9" x14ac:dyDescent="0.2">
      <c r="A172" s="8"/>
      <c r="B172" s="9"/>
      <c r="C172" s="9"/>
      <c r="D172" s="9"/>
      <c r="E172" s="26"/>
      <c r="F172" s="8"/>
      <c r="G172" s="53"/>
      <c r="H172" s="13"/>
      <c r="I172" s="14"/>
    </row>
    <row r="173" spans="1:9" x14ac:dyDescent="0.2">
      <c r="A173" s="8"/>
      <c r="B173" s="9"/>
      <c r="C173" s="9"/>
      <c r="D173" s="9"/>
      <c r="E173" s="26"/>
      <c r="F173" s="8"/>
      <c r="G173" s="53"/>
      <c r="H173" s="13"/>
      <c r="I173" s="14"/>
    </row>
    <row r="174" spans="1:9" x14ac:dyDescent="0.2">
      <c r="A174" s="8"/>
      <c r="B174" s="9"/>
      <c r="C174" s="9"/>
      <c r="D174" s="9"/>
      <c r="E174" s="26"/>
      <c r="F174" s="8"/>
      <c r="G174" s="53"/>
      <c r="H174" s="13"/>
      <c r="I174" s="14"/>
    </row>
    <row r="175" spans="1:9" x14ac:dyDescent="0.2">
      <c r="A175" s="8"/>
      <c r="B175" s="9"/>
      <c r="C175" s="9"/>
      <c r="D175" s="9"/>
      <c r="E175" s="26"/>
      <c r="F175" s="8"/>
      <c r="G175" s="53"/>
      <c r="H175" s="13"/>
      <c r="I175" s="14"/>
    </row>
    <row r="176" spans="1:9" x14ac:dyDescent="0.2">
      <c r="A176" s="17"/>
      <c r="B176" s="9"/>
      <c r="C176" s="11"/>
      <c r="D176" s="9"/>
      <c r="E176" s="35"/>
      <c r="F176" s="69"/>
      <c r="G176" s="51"/>
      <c r="H176" s="13"/>
      <c r="I176" s="14"/>
    </row>
    <row r="177" spans="1:9" x14ac:dyDescent="0.2">
      <c r="A177" s="20"/>
      <c r="B177" s="21"/>
      <c r="C177" s="21"/>
      <c r="D177" s="9"/>
      <c r="E177" s="27"/>
      <c r="F177" s="20"/>
      <c r="G177" s="55"/>
      <c r="H177" s="13"/>
      <c r="I177" s="14"/>
    </row>
    <row r="178" spans="1:9" x14ac:dyDescent="0.2">
      <c r="A178" s="20"/>
      <c r="B178" s="21"/>
      <c r="C178" s="21"/>
      <c r="D178" s="9"/>
      <c r="E178" s="27"/>
      <c r="F178" s="20"/>
      <c r="G178" s="55"/>
      <c r="H178" s="13"/>
      <c r="I178" s="14"/>
    </row>
    <row r="179" spans="1:9" x14ac:dyDescent="0.2">
      <c r="A179" s="20"/>
      <c r="B179" s="21"/>
      <c r="C179" s="21"/>
      <c r="D179" s="9"/>
      <c r="E179" s="27"/>
      <c r="F179" s="20"/>
      <c r="G179" s="55"/>
      <c r="H179" s="13"/>
      <c r="I179" s="14"/>
    </row>
    <row r="180" spans="1:9" x14ac:dyDescent="0.2">
      <c r="A180" s="8"/>
      <c r="B180" s="21"/>
      <c r="D180" s="9"/>
      <c r="G180" s="52"/>
      <c r="H180" s="13"/>
      <c r="I180" s="14"/>
    </row>
    <row r="181" spans="1:9" x14ac:dyDescent="0.2">
      <c r="A181" s="8"/>
      <c r="B181" s="21"/>
      <c r="D181" s="9"/>
      <c r="G181" s="52"/>
      <c r="H181" s="13"/>
      <c r="I181" s="14"/>
    </row>
    <row r="182" spans="1:9" x14ac:dyDescent="0.2">
      <c r="A182" s="19"/>
      <c r="B182" s="11"/>
      <c r="C182" s="11"/>
      <c r="D182" s="34"/>
      <c r="E182" s="35"/>
      <c r="F182" s="69"/>
      <c r="G182" s="51"/>
      <c r="H182" s="12"/>
      <c r="I182" s="14"/>
    </row>
    <row r="183" spans="1:9" x14ac:dyDescent="0.2">
      <c r="A183" s="8"/>
      <c r="G183" s="52"/>
      <c r="H183" s="13"/>
      <c r="I183" s="12"/>
    </row>
    <row r="184" spans="1:9" x14ac:dyDescent="0.2">
      <c r="A184" s="8"/>
      <c r="B184" s="9"/>
      <c r="C184" s="9"/>
      <c r="D184" s="9"/>
      <c r="E184" s="26"/>
      <c r="F184" s="8"/>
      <c r="G184" s="53"/>
      <c r="H184" s="13"/>
      <c r="I184" s="14"/>
    </row>
    <row r="185" spans="1:9" x14ac:dyDescent="0.2">
      <c r="A185" s="8"/>
      <c r="B185" s="9"/>
      <c r="C185" s="9"/>
      <c r="D185" s="9"/>
      <c r="E185" s="26"/>
      <c r="F185" s="8"/>
      <c r="G185" s="53"/>
      <c r="H185" s="13"/>
      <c r="I185" s="14"/>
    </row>
    <row r="186" spans="1:9" x14ac:dyDescent="0.2">
      <c r="A186" s="8"/>
      <c r="B186" s="9"/>
      <c r="C186" s="9"/>
      <c r="D186" s="9"/>
      <c r="E186" s="26"/>
      <c r="F186" s="8"/>
      <c r="G186" s="53"/>
      <c r="H186" s="13"/>
      <c r="I186" s="14"/>
    </row>
    <row r="187" spans="1:9" x14ac:dyDescent="0.2">
      <c r="A187" s="17"/>
      <c r="B187" s="10"/>
      <c r="C187" s="10"/>
      <c r="D187" s="9"/>
      <c r="E187" s="17"/>
      <c r="F187" s="70"/>
      <c r="G187" s="54"/>
      <c r="H187" s="13"/>
      <c r="I187" s="14"/>
    </row>
    <row r="188" spans="1:9" x14ac:dyDescent="0.2">
      <c r="A188" s="8"/>
      <c r="B188" s="9"/>
      <c r="C188" s="9"/>
      <c r="D188" s="9"/>
      <c r="E188" s="26"/>
      <c r="F188" s="8"/>
      <c r="G188" s="53"/>
      <c r="H188" s="13"/>
      <c r="I188" s="14"/>
    </row>
    <row r="189" spans="1:9" x14ac:dyDescent="0.2">
      <c r="A189" s="8"/>
      <c r="B189" s="9"/>
      <c r="C189" s="9"/>
      <c r="D189" s="9"/>
      <c r="E189" s="26"/>
      <c r="F189" s="8"/>
      <c r="G189" s="53"/>
      <c r="H189" s="13"/>
      <c r="I189" s="14"/>
    </row>
    <row r="190" spans="1:9" x14ac:dyDescent="0.2">
      <c r="A190" s="8"/>
      <c r="B190" s="9"/>
      <c r="C190" s="9"/>
      <c r="D190" s="9"/>
      <c r="E190" s="26"/>
      <c r="F190" s="8"/>
      <c r="G190" s="53"/>
      <c r="H190" s="13"/>
      <c r="I190" s="14"/>
    </row>
    <row r="191" spans="1:9" x14ac:dyDescent="0.2">
      <c r="A191" s="8"/>
      <c r="B191" s="9"/>
      <c r="C191" s="9"/>
      <c r="D191" s="9"/>
      <c r="E191" s="26"/>
      <c r="F191" s="8"/>
      <c r="G191" s="53"/>
      <c r="H191" s="13"/>
      <c r="I191" s="14"/>
    </row>
    <row r="192" spans="1:9" x14ac:dyDescent="0.2">
      <c r="A192" s="8"/>
      <c r="B192" s="9"/>
      <c r="C192" s="9"/>
      <c r="D192" s="9"/>
      <c r="E192" s="26"/>
      <c r="G192" s="52"/>
      <c r="H192" s="13"/>
      <c r="I192" s="14"/>
    </row>
    <row r="193" spans="1:9" x14ac:dyDescent="0.2">
      <c r="A193" s="20"/>
      <c r="B193" s="21"/>
      <c r="C193" s="21"/>
      <c r="D193" s="9"/>
      <c r="E193" s="27"/>
      <c r="F193" s="20"/>
      <c r="G193" s="55"/>
      <c r="H193" s="13"/>
      <c r="I193" s="14"/>
    </row>
    <row r="194" spans="1:9" x14ac:dyDescent="0.2">
      <c r="A194" s="20"/>
      <c r="B194" s="21"/>
      <c r="C194" s="21"/>
      <c r="D194" s="9"/>
      <c r="E194" s="27"/>
      <c r="F194" s="20"/>
      <c r="G194" s="55"/>
      <c r="H194" s="13"/>
      <c r="I194" s="14"/>
    </row>
    <row r="195" spans="1:9" x14ac:dyDescent="0.2">
      <c r="A195" s="20"/>
      <c r="B195" s="21"/>
      <c r="C195" s="21"/>
      <c r="D195" s="9"/>
      <c r="E195" s="27"/>
      <c r="F195" s="20"/>
      <c r="G195" s="55"/>
      <c r="H195" s="13"/>
      <c r="I195" s="14"/>
    </row>
    <row r="196" spans="1:9" x14ac:dyDescent="0.2">
      <c r="A196" s="8"/>
      <c r="B196" s="21"/>
      <c r="C196" s="21"/>
      <c r="G196" s="52"/>
      <c r="H196" s="13"/>
      <c r="I196" s="5"/>
    </row>
    <row r="197" spans="1:9" x14ac:dyDescent="0.2">
      <c r="A197" s="8"/>
      <c r="B197" s="21"/>
      <c r="G197" s="52"/>
      <c r="H197" s="13"/>
      <c r="I197" s="5"/>
    </row>
    <row r="198" spans="1:9" x14ac:dyDescent="0.2">
      <c r="A198" s="19"/>
      <c r="B198" s="11"/>
      <c r="C198" s="11"/>
      <c r="D198" s="34"/>
      <c r="E198" s="35"/>
      <c r="F198" s="69"/>
      <c r="G198" s="51"/>
      <c r="H198" s="12"/>
      <c r="I198" s="5"/>
    </row>
    <row r="199" spans="1:9" x14ac:dyDescent="0.2">
      <c r="A199" s="8"/>
      <c r="G199" s="52"/>
      <c r="H199" s="14"/>
      <c r="I199" s="5"/>
    </row>
    <row r="200" spans="1:9" x14ac:dyDescent="0.2">
      <c r="A200" s="8"/>
      <c r="B200" s="9"/>
      <c r="C200" s="9"/>
      <c r="D200" s="9"/>
      <c r="E200" s="26"/>
      <c r="F200" s="8"/>
      <c r="G200" s="53"/>
      <c r="H200" s="14"/>
      <c r="I200" s="5"/>
    </row>
    <row r="201" spans="1:9" x14ac:dyDescent="0.2">
      <c r="A201" s="8"/>
      <c r="B201" s="9"/>
      <c r="C201" s="9"/>
      <c r="D201" s="9"/>
      <c r="E201" s="26"/>
      <c r="F201" s="8"/>
      <c r="G201" s="53"/>
      <c r="H201" s="14"/>
      <c r="I201" s="5"/>
    </row>
    <row r="202" spans="1:9" x14ac:dyDescent="0.2">
      <c r="A202" s="8"/>
      <c r="B202" s="9"/>
      <c r="C202" s="9"/>
      <c r="D202" s="9"/>
      <c r="E202" s="26"/>
      <c r="F202" s="8"/>
      <c r="G202" s="53"/>
      <c r="H202" s="14"/>
      <c r="I202" s="5"/>
    </row>
    <row r="203" spans="1:9" x14ac:dyDescent="0.2">
      <c r="A203" s="17"/>
      <c r="B203" s="10"/>
      <c r="C203" s="10"/>
      <c r="D203" s="9"/>
      <c r="E203" s="17"/>
      <c r="F203" s="70"/>
      <c r="G203" s="54"/>
      <c r="H203" s="14"/>
      <c r="I203" s="5"/>
    </row>
    <row r="204" spans="1:9" x14ac:dyDescent="0.2">
      <c r="A204" s="8"/>
      <c r="B204" s="9"/>
      <c r="C204" s="9"/>
      <c r="D204" s="9"/>
      <c r="E204" s="26"/>
      <c r="F204" s="8"/>
      <c r="G204" s="53"/>
      <c r="H204" s="14"/>
      <c r="I204" s="5"/>
    </row>
    <row r="205" spans="1:9" x14ac:dyDescent="0.2">
      <c r="A205" s="8"/>
      <c r="B205" s="9"/>
      <c r="C205" s="9"/>
      <c r="D205" s="9"/>
      <c r="E205" s="26"/>
      <c r="F205" s="8"/>
      <c r="G205" s="53"/>
      <c r="H205" s="14"/>
      <c r="I205" s="5"/>
    </row>
    <row r="206" spans="1:9" x14ac:dyDescent="0.2">
      <c r="A206" s="8"/>
      <c r="B206" s="9"/>
      <c r="C206" s="9"/>
      <c r="D206" s="9"/>
      <c r="E206" s="26"/>
      <c r="F206" s="8"/>
      <c r="G206" s="53"/>
      <c r="H206" s="14"/>
      <c r="I206" s="5"/>
    </row>
    <row r="207" spans="1:9" x14ac:dyDescent="0.2">
      <c r="A207" s="8"/>
      <c r="B207" s="9"/>
      <c r="C207" s="9"/>
      <c r="D207" s="9"/>
      <c r="E207" s="26"/>
      <c r="G207" s="52"/>
      <c r="H207" s="14"/>
      <c r="I207" s="5"/>
    </row>
    <row r="208" spans="1:9" x14ac:dyDescent="0.2">
      <c r="A208" s="8"/>
      <c r="B208" s="9"/>
      <c r="C208" s="9"/>
      <c r="D208" s="9"/>
      <c r="E208" s="26"/>
      <c r="G208" s="52"/>
      <c r="H208" s="14"/>
      <c r="I208" s="5"/>
    </row>
    <row r="209" spans="1:9" x14ac:dyDescent="0.2">
      <c r="A209" s="20"/>
      <c r="B209" s="21"/>
      <c r="C209" s="21"/>
      <c r="D209" s="9"/>
      <c r="E209" s="27"/>
      <c r="F209" s="20"/>
      <c r="G209" s="55"/>
      <c r="H209" s="14"/>
      <c r="I209" s="5"/>
    </row>
    <row r="210" spans="1:9" x14ac:dyDescent="0.2">
      <c r="A210" s="20"/>
      <c r="B210" s="21"/>
      <c r="C210" s="21"/>
      <c r="D210" s="9"/>
      <c r="E210" s="27"/>
      <c r="F210" s="20"/>
      <c r="G210" s="55"/>
      <c r="H210" s="14"/>
      <c r="I210" s="5"/>
    </row>
    <row r="211" spans="1:9" x14ac:dyDescent="0.2">
      <c r="A211" s="20"/>
      <c r="B211" s="21"/>
      <c r="C211" s="21"/>
      <c r="D211" s="9"/>
      <c r="E211" s="27"/>
      <c r="F211" s="20"/>
      <c r="G211" s="55"/>
      <c r="H211" s="14"/>
      <c r="I211" s="5"/>
    </row>
    <row r="212" spans="1:9" x14ac:dyDescent="0.2">
      <c r="A212" s="8"/>
      <c r="B212" s="21"/>
      <c r="C212" s="9"/>
      <c r="D212" s="9"/>
      <c r="E212" s="26"/>
      <c r="G212" s="52"/>
      <c r="H212" s="14"/>
      <c r="I212" s="3"/>
    </row>
    <row r="213" spans="1:9" x14ac:dyDescent="0.2">
      <c r="A213" s="8"/>
      <c r="B213" s="21"/>
      <c r="C213" s="9"/>
      <c r="D213" s="9"/>
      <c r="G213" s="52"/>
      <c r="H213" s="14"/>
      <c r="I213" s="3"/>
    </row>
    <row r="214" spans="1:9" x14ac:dyDescent="0.2">
      <c r="A214" s="19"/>
      <c r="B214" s="11"/>
      <c r="C214" s="11"/>
      <c r="D214" s="34"/>
      <c r="E214" s="35"/>
      <c r="F214" s="69"/>
      <c r="G214" s="51"/>
      <c r="H214" s="12"/>
      <c r="I214" s="3"/>
    </row>
    <row r="215" spans="1:9" x14ac:dyDescent="0.2">
      <c r="A215" s="8"/>
      <c r="G215" s="52"/>
      <c r="H215" s="14"/>
    </row>
    <row r="216" spans="1:9" x14ac:dyDescent="0.2">
      <c r="A216" s="8"/>
      <c r="B216" s="9"/>
      <c r="C216" s="9"/>
      <c r="D216" s="9"/>
      <c r="E216" s="26"/>
      <c r="F216" s="8"/>
      <c r="G216" s="53"/>
      <c r="H216" s="14"/>
      <c r="I216" s="34"/>
    </row>
    <row r="217" spans="1:9" x14ac:dyDescent="0.2">
      <c r="A217" s="8"/>
      <c r="B217" s="9"/>
      <c r="C217" s="9"/>
      <c r="D217" s="9"/>
      <c r="E217" s="26"/>
      <c r="F217" s="8"/>
      <c r="G217" s="53"/>
      <c r="H217" s="14"/>
      <c r="I217" s="5"/>
    </row>
    <row r="218" spans="1:9" x14ac:dyDescent="0.2">
      <c r="A218" s="8"/>
      <c r="B218" s="9"/>
      <c r="C218" s="9"/>
      <c r="D218" s="9"/>
      <c r="E218" s="26"/>
      <c r="F218" s="8"/>
      <c r="G218" s="53"/>
      <c r="H218" s="14"/>
      <c r="I218" s="5"/>
    </row>
    <row r="219" spans="1:9" x14ac:dyDescent="0.2">
      <c r="A219" s="17"/>
      <c r="B219" s="10"/>
      <c r="C219" s="10"/>
      <c r="D219" s="9"/>
      <c r="E219" s="17"/>
      <c r="F219" s="70"/>
      <c r="G219" s="54"/>
      <c r="H219" s="14"/>
      <c r="I219" s="5"/>
    </row>
    <row r="220" spans="1:9" x14ac:dyDescent="0.2">
      <c r="A220" s="8"/>
      <c r="B220" s="9"/>
      <c r="C220" s="9"/>
      <c r="D220" s="9"/>
      <c r="E220" s="26"/>
      <c r="F220" s="8"/>
      <c r="G220" s="53"/>
      <c r="H220" s="14"/>
      <c r="I220" s="5"/>
    </row>
    <row r="221" spans="1:9" x14ac:dyDescent="0.2">
      <c r="A221" s="8"/>
      <c r="B221" s="9"/>
      <c r="C221" s="9"/>
      <c r="D221" s="9"/>
      <c r="E221" s="26"/>
      <c r="F221" s="8"/>
      <c r="G221" s="53"/>
      <c r="H221" s="14"/>
      <c r="I221" s="5"/>
    </row>
    <row r="222" spans="1:9" x14ac:dyDescent="0.2">
      <c r="A222" s="8"/>
      <c r="B222" s="9"/>
      <c r="C222" s="9"/>
      <c r="D222" s="9"/>
      <c r="E222" s="26"/>
      <c r="F222" s="8"/>
      <c r="G222" s="53"/>
      <c r="H222" s="14"/>
      <c r="I222" s="5"/>
    </row>
    <row r="223" spans="1:9" x14ac:dyDescent="0.2">
      <c r="A223" s="8"/>
      <c r="B223" s="9"/>
      <c r="C223" s="9"/>
      <c r="D223" s="9"/>
      <c r="E223" s="26"/>
      <c r="F223" s="15"/>
      <c r="G223" s="52"/>
      <c r="H223" s="14"/>
      <c r="I223" s="5"/>
    </row>
    <row r="224" spans="1:9" x14ac:dyDescent="0.2">
      <c r="A224" s="8"/>
      <c r="B224" s="9"/>
      <c r="C224" s="9"/>
      <c r="D224" s="9"/>
      <c r="E224" s="26"/>
      <c r="F224" s="15"/>
      <c r="G224" s="52"/>
      <c r="H224" s="14"/>
      <c r="I224" s="5"/>
    </row>
    <row r="225" spans="1:9" x14ac:dyDescent="0.2">
      <c r="A225" s="20"/>
      <c r="B225" s="21"/>
      <c r="C225" s="21"/>
      <c r="D225" s="9"/>
      <c r="E225" s="27"/>
      <c r="F225" s="20"/>
      <c r="G225" s="55"/>
      <c r="H225" s="14"/>
      <c r="I225" s="5"/>
    </row>
    <row r="226" spans="1:9" x14ac:dyDescent="0.2">
      <c r="A226" s="20"/>
      <c r="B226" s="21"/>
      <c r="C226" s="21"/>
      <c r="D226" s="9"/>
      <c r="E226" s="27"/>
      <c r="F226" s="20"/>
      <c r="G226" s="55"/>
      <c r="H226" s="14"/>
      <c r="I226" s="5"/>
    </row>
    <row r="227" spans="1:9" x14ac:dyDescent="0.2">
      <c r="A227" s="20"/>
      <c r="B227" s="21"/>
      <c r="C227" s="21"/>
      <c r="D227" s="9"/>
      <c r="E227" s="27"/>
      <c r="F227" s="20"/>
      <c r="G227" s="55"/>
      <c r="H227" s="14"/>
      <c r="I227" s="5"/>
    </row>
    <row r="228" spans="1:9" x14ac:dyDescent="0.2">
      <c r="A228" s="8"/>
      <c r="B228" s="21"/>
      <c r="C228" s="9"/>
      <c r="D228" s="9"/>
      <c r="E228" s="26"/>
      <c r="F228" s="15"/>
      <c r="G228" s="52"/>
      <c r="H228" s="13"/>
      <c r="I228" s="5"/>
    </row>
    <row r="229" spans="1:9" x14ac:dyDescent="0.2">
      <c r="A229" s="4"/>
      <c r="B229" s="21"/>
      <c r="C229" s="9"/>
      <c r="D229" s="9"/>
      <c r="E229" s="26"/>
      <c r="F229" s="15"/>
      <c r="G229" s="52"/>
      <c r="H229" s="13"/>
      <c r="I229" s="5"/>
    </row>
    <row r="230" spans="1:9" x14ac:dyDescent="0.2">
      <c r="A230" s="2"/>
      <c r="B230" s="11"/>
      <c r="C230" s="11"/>
      <c r="D230" s="34"/>
      <c r="E230" s="35"/>
      <c r="F230" s="69"/>
      <c r="G230" s="51"/>
      <c r="H230" s="12"/>
      <c r="I230" s="5"/>
    </row>
    <row r="231" spans="1:9" x14ac:dyDescent="0.2">
      <c r="A231" s="8"/>
      <c r="G231" s="52"/>
      <c r="H231" s="13"/>
      <c r="I231" s="5"/>
    </row>
    <row r="232" spans="1:9" x14ac:dyDescent="0.2">
      <c r="A232" s="8"/>
      <c r="B232" s="9"/>
      <c r="C232" s="9"/>
      <c r="D232" s="9"/>
      <c r="E232" s="26"/>
      <c r="F232" s="8"/>
      <c r="G232" s="53"/>
      <c r="H232" s="13"/>
      <c r="I232" s="5"/>
    </row>
    <row r="233" spans="1:9" x14ac:dyDescent="0.2">
      <c r="A233" s="8"/>
      <c r="B233" s="9"/>
      <c r="C233" s="9"/>
      <c r="D233" s="9"/>
      <c r="E233" s="26"/>
      <c r="F233" s="8"/>
      <c r="G233" s="53"/>
      <c r="H233" s="13"/>
      <c r="I233" s="5"/>
    </row>
    <row r="234" spans="1:9" x14ac:dyDescent="0.2">
      <c r="A234" s="8"/>
      <c r="B234" s="9"/>
      <c r="C234" s="9"/>
      <c r="D234" s="9"/>
      <c r="E234" s="26"/>
      <c r="F234" s="8"/>
      <c r="G234" s="53"/>
      <c r="H234" s="13"/>
      <c r="I234" s="5"/>
    </row>
    <row r="235" spans="1:9" x14ac:dyDescent="0.2">
      <c r="A235" s="17"/>
      <c r="B235" s="10"/>
      <c r="C235" s="10"/>
      <c r="D235" s="9"/>
      <c r="E235" s="17"/>
      <c r="F235" s="70"/>
      <c r="G235" s="54"/>
      <c r="H235" s="13"/>
      <c r="I235" s="5"/>
    </row>
    <row r="236" spans="1:9" x14ac:dyDescent="0.2">
      <c r="A236" s="8"/>
      <c r="B236" s="9"/>
      <c r="C236" s="9"/>
      <c r="D236" s="9"/>
      <c r="E236" s="26"/>
      <c r="F236" s="8"/>
      <c r="G236" s="53"/>
      <c r="H236" s="13"/>
      <c r="I236" s="5"/>
    </row>
    <row r="237" spans="1:9" x14ac:dyDescent="0.2">
      <c r="A237" s="8"/>
      <c r="B237" s="22"/>
      <c r="C237" s="22"/>
      <c r="D237" s="9"/>
      <c r="E237" s="26"/>
      <c r="F237" s="8"/>
      <c r="G237" s="53"/>
      <c r="H237" s="13"/>
      <c r="I237" s="5"/>
    </row>
    <row r="238" spans="1:9" x14ac:dyDescent="0.2">
      <c r="A238" s="8"/>
      <c r="B238" s="22"/>
      <c r="C238" s="22"/>
      <c r="D238" s="9"/>
      <c r="E238" s="26"/>
      <c r="F238" s="8"/>
      <c r="G238" s="53"/>
      <c r="H238" s="13"/>
      <c r="I238" s="5"/>
    </row>
    <row r="239" spans="1:9" x14ac:dyDescent="0.2">
      <c r="A239" s="8"/>
      <c r="B239" s="22"/>
      <c r="C239" s="22"/>
      <c r="D239" s="9"/>
      <c r="E239" s="26"/>
      <c r="F239" s="8"/>
      <c r="G239" s="56"/>
      <c r="H239" s="13"/>
      <c r="I239" s="5"/>
    </row>
    <row r="240" spans="1:9" x14ac:dyDescent="0.2">
      <c r="A240" s="17"/>
      <c r="B240" s="23"/>
      <c r="C240" s="23"/>
      <c r="D240" s="9"/>
      <c r="E240" s="17"/>
      <c r="F240" s="70"/>
      <c r="G240" s="54"/>
      <c r="H240" s="13"/>
      <c r="I240" s="3"/>
    </row>
    <row r="241" spans="1:9" x14ac:dyDescent="0.2">
      <c r="A241" s="20"/>
      <c r="B241" s="24"/>
      <c r="C241" s="24"/>
      <c r="D241" s="9"/>
      <c r="E241" s="27"/>
      <c r="F241" s="20"/>
      <c r="G241" s="55"/>
      <c r="H241" s="13"/>
      <c r="I241" s="3"/>
    </row>
    <row r="242" spans="1:9" x14ac:dyDescent="0.2">
      <c r="A242" s="20"/>
      <c r="B242" s="25"/>
      <c r="C242" s="24"/>
      <c r="D242" s="9"/>
      <c r="E242" s="27"/>
      <c r="F242" s="20"/>
      <c r="G242" s="55"/>
      <c r="H242" s="13"/>
      <c r="I242" s="3"/>
    </row>
    <row r="243" spans="1:9" x14ac:dyDescent="0.2">
      <c r="A243" s="20"/>
      <c r="B243" s="25"/>
      <c r="C243" s="21"/>
      <c r="D243" s="9"/>
      <c r="E243" s="27"/>
      <c r="F243" s="20"/>
      <c r="G243" s="55"/>
      <c r="H243" s="13"/>
      <c r="I243" s="3"/>
    </row>
    <row r="244" spans="1:9" x14ac:dyDescent="0.2">
      <c r="A244" s="17"/>
      <c r="B244" s="10"/>
      <c r="C244" s="17"/>
      <c r="D244" s="9"/>
      <c r="E244" s="17"/>
      <c r="F244" s="70"/>
      <c r="G244" s="54"/>
      <c r="H244" s="13"/>
      <c r="I244" s="3"/>
    </row>
    <row r="245" spans="1:9" x14ac:dyDescent="0.2">
      <c r="A245" s="17"/>
      <c r="B245" s="10"/>
      <c r="C245" s="17"/>
      <c r="D245" s="9"/>
      <c r="E245" s="17"/>
      <c r="F245" s="70"/>
      <c r="G245" s="54"/>
      <c r="H245" s="13"/>
      <c r="I245" s="3"/>
    </row>
    <row r="246" spans="1:9" x14ac:dyDescent="0.2">
      <c r="A246" s="19"/>
      <c r="B246" s="11"/>
      <c r="C246" s="11"/>
      <c r="D246" s="34"/>
      <c r="E246" s="35"/>
      <c r="F246" s="69"/>
      <c r="G246" s="51"/>
      <c r="H246" s="12"/>
      <c r="I246" s="3"/>
    </row>
    <row r="247" spans="1:9" x14ac:dyDescent="0.2">
      <c r="A247" s="8"/>
      <c r="F247" s="8"/>
      <c r="G247" s="53"/>
      <c r="H247" s="13"/>
      <c r="I247" s="3"/>
    </row>
    <row r="248" spans="1:9" x14ac:dyDescent="0.2">
      <c r="A248" s="8"/>
      <c r="B248" s="9"/>
      <c r="C248" s="9"/>
      <c r="D248" s="9"/>
      <c r="E248" s="26"/>
      <c r="G248" s="52"/>
      <c r="H248" s="13"/>
    </row>
    <row r="249" spans="1:9" x14ac:dyDescent="0.2">
      <c r="A249" s="8"/>
      <c r="B249" s="9"/>
      <c r="C249" s="9"/>
      <c r="D249" s="9"/>
      <c r="E249" s="26"/>
      <c r="F249" s="8"/>
      <c r="G249" s="53"/>
      <c r="H249" s="13"/>
      <c r="I249" s="34"/>
    </row>
    <row r="250" spans="1:9" x14ac:dyDescent="0.2">
      <c r="A250" s="8"/>
      <c r="B250" s="9"/>
      <c r="C250" s="9"/>
      <c r="D250" s="9"/>
      <c r="E250" s="26"/>
      <c r="F250" s="8"/>
      <c r="G250" s="53"/>
      <c r="H250" s="13"/>
      <c r="I250" s="34"/>
    </row>
    <row r="251" spans="1:9" x14ac:dyDescent="0.2">
      <c r="A251" s="17"/>
      <c r="B251" s="10"/>
      <c r="C251" s="10"/>
      <c r="D251" s="9"/>
      <c r="E251" s="17"/>
      <c r="F251" s="70"/>
      <c r="G251" s="54"/>
      <c r="H251" s="13"/>
      <c r="I251" s="34"/>
    </row>
    <row r="252" spans="1:9" x14ac:dyDescent="0.2">
      <c r="A252" s="8"/>
      <c r="B252" s="9"/>
      <c r="C252" s="9"/>
      <c r="D252" s="9"/>
      <c r="E252" s="26"/>
      <c r="F252" s="8"/>
      <c r="G252" s="53"/>
      <c r="H252" s="13"/>
      <c r="I252" s="5"/>
    </row>
    <row r="253" spans="1:9" x14ac:dyDescent="0.2">
      <c r="A253" s="8"/>
      <c r="B253" s="9"/>
      <c r="C253" s="9"/>
      <c r="D253" s="9"/>
      <c r="E253" s="26"/>
      <c r="F253" s="8"/>
      <c r="G253" s="53"/>
      <c r="H253" s="13"/>
      <c r="I253" s="5"/>
    </row>
    <row r="254" spans="1:9" x14ac:dyDescent="0.2">
      <c r="A254" s="8"/>
      <c r="B254" s="9"/>
      <c r="C254" s="9"/>
      <c r="D254" s="9"/>
      <c r="E254" s="26"/>
      <c r="F254" s="8"/>
      <c r="G254" s="53"/>
      <c r="H254" s="13"/>
      <c r="I254" s="5"/>
    </row>
    <row r="255" spans="1:9" x14ac:dyDescent="0.2">
      <c r="A255" s="8"/>
      <c r="B255" s="9"/>
      <c r="C255" s="9"/>
      <c r="D255" s="9"/>
      <c r="E255" s="26"/>
      <c r="G255" s="52"/>
      <c r="H255" s="13"/>
      <c r="I255" s="5"/>
    </row>
    <row r="256" spans="1:9" x14ac:dyDescent="0.2">
      <c r="A256" s="8"/>
      <c r="B256" s="9"/>
      <c r="C256" s="9"/>
      <c r="D256" s="9"/>
      <c r="E256" s="26"/>
      <c r="G256" s="52"/>
      <c r="H256" s="13"/>
      <c r="I256" s="5"/>
    </row>
    <row r="257" spans="1:9" x14ac:dyDescent="0.2">
      <c r="A257" s="20"/>
      <c r="B257" s="21"/>
      <c r="C257" s="21"/>
      <c r="D257" s="9"/>
      <c r="E257" s="27"/>
      <c r="F257" s="20"/>
      <c r="G257" s="55"/>
      <c r="H257" s="13"/>
      <c r="I257" s="5"/>
    </row>
    <row r="258" spans="1:9" x14ac:dyDescent="0.2">
      <c r="A258" s="20"/>
      <c r="B258" s="21"/>
      <c r="C258" s="21"/>
      <c r="D258" s="9"/>
      <c r="E258" s="27"/>
      <c r="F258" s="20"/>
      <c r="G258" s="55"/>
      <c r="H258" s="13"/>
      <c r="I258" s="5"/>
    </row>
    <row r="259" spans="1:9" x14ac:dyDescent="0.2">
      <c r="A259" s="20"/>
      <c r="B259" s="21"/>
      <c r="C259" s="21"/>
      <c r="D259" s="9"/>
      <c r="E259" s="27"/>
      <c r="F259" s="20"/>
      <c r="G259" s="55"/>
      <c r="H259" s="13"/>
      <c r="I259" s="5"/>
    </row>
    <row r="260" spans="1:9" x14ac:dyDescent="0.2">
      <c r="A260" s="17"/>
      <c r="B260" s="11"/>
      <c r="C260" s="11"/>
      <c r="D260" s="9"/>
      <c r="E260" s="26"/>
      <c r="F260" s="8"/>
      <c r="G260" s="53"/>
      <c r="H260" s="13"/>
      <c r="I260" s="5"/>
    </row>
    <row r="261" spans="1:9" x14ac:dyDescent="0.2">
      <c r="A261" s="8"/>
      <c r="B261" s="21"/>
      <c r="D261" s="9"/>
      <c r="G261" s="52"/>
      <c r="H261" s="14"/>
      <c r="I261" s="5"/>
    </row>
    <row r="262" spans="1:9" x14ac:dyDescent="0.2">
      <c r="A262" s="19"/>
      <c r="B262" s="11"/>
      <c r="C262" s="11"/>
      <c r="D262" s="34"/>
      <c r="E262" s="35"/>
      <c r="F262" s="69"/>
      <c r="G262" s="51"/>
      <c r="H262" s="12"/>
      <c r="I262" s="5"/>
    </row>
    <row r="263" spans="1:9" x14ac:dyDescent="0.2">
      <c r="A263" s="8"/>
      <c r="G263" s="52"/>
      <c r="H263" s="13"/>
      <c r="I263" s="5"/>
    </row>
    <row r="264" spans="1:9" x14ac:dyDescent="0.2">
      <c r="A264" s="8"/>
      <c r="B264" s="9"/>
      <c r="C264" s="9"/>
      <c r="D264" s="9"/>
      <c r="E264" s="26"/>
      <c r="F264" s="8"/>
      <c r="G264" s="53"/>
      <c r="H264" s="13"/>
      <c r="I264" s="5"/>
    </row>
    <row r="265" spans="1:9" x14ac:dyDescent="0.2">
      <c r="A265" s="8"/>
      <c r="B265" s="9"/>
      <c r="C265" s="9"/>
      <c r="D265" s="9"/>
      <c r="E265" s="26"/>
      <c r="F265" s="8"/>
      <c r="G265" s="53"/>
      <c r="H265" s="13"/>
      <c r="I265" s="5"/>
    </row>
    <row r="266" spans="1:9" x14ac:dyDescent="0.2">
      <c r="A266" s="8"/>
      <c r="B266" s="9"/>
      <c r="C266" s="9"/>
      <c r="D266" s="9"/>
      <c r="E266" s="26"/>
      <c r="F266" s="8"/>
      <c r="G266" s="53"/>
      <c r="H266" s="13"/>
      <c r="I266" s="5"/>
    </row>
    <row r="267" spans="1:9" x14ac:dyDescent="0.2">
      <c r="A267" s="17"/>
      <c r="B267" s="10"/>
      <c r="C267" s="10"/>
      <c r="D267" s="9"/>
      <c r="E267" s="17"/>
      <c r="F267" s="70"/>
      <c r="G267" s="54"/>
      <c r="H267" s="13"/>
      <c r="I267" s="5"/>
    </row>
    <row r="268" spans="1:9" x14ac:dyDescent="0.2">
      <c r="A268" s="8"/>
      <c r="B268" s="9"/>
      <c r="C268" s="9"/>
      <c r="D268" s="9"/>
      <c r="E268" s="26"/>
      <c r="F268" s="8"/>
      <c r="G268" s="53"/>
      <c r="H268" s="13"/>
      <c r="I268" s="5"/>
    </row>
    <row r="269" spans="1:9" x14ac:dyDescent="0.2">
      <c r="A269" s="8"/>
      <c r="B269" s="9"/>
      <c r="C269" s="9"/>
      <c r="D269" s="9"/>
      <c r="E269" s="26"/>
      <c r="F269" s="8"/>
      <c r="G269" s="53"/>
      <c r="H269" s="13"/>
      <c r="I269" s="5"/>
    </row>
    <row r="270" spans="1:9" x14ac:dyDescent="0.2">
      <c r="A270" s="8"/>
      <c r="B270" s="9"/>
      <c r="C270" s="9"/>
      <c r="D270" s="9"/>
      <c r="E270" s="26"/>
      <c r="F270" s="8"/>
      <c r="G270" s="53"/>
      <c r="H270" s="13"/>
      <c r="I270" s="5"/>
    </row>
    <row r="271" spans="1:9" x14ac:dyDescent="0.2">
      <c r="A271" s="8"/>
      <c r="B271" s="9"/>
      <c r="C271" s="9"/>
      <c r="D271" s="9"/>
      <c r="E271" s="26"/>
      <c r="G271" s="52"/>
      <c r="H271" s="13"/>
      <c r="I271" s="5"/>
    </row>
    <row r="272" spans="1:9" x14ac:dyDescent="0.2">
      <c r="A272" s="8"/>
      <c r="B272" s="9"/>
      <c r="C272" s="9"/>
      <c r="D272" s="9"/>
      <c r="G272" s="52"/>
      <c r="H272" s="13"/>
      <c r="I272" s="5"/>
    </row>
    <row r="273" spans="1:9" x14ac:dyDescent="0.2">
      <c r="A273" s="20"/>
      <c r="B273" s="21"/>
      <c r="C273" s="21"/>
      <c r="D273" s="9"/>
      <c r="E273" s="27"/>
      <c r="F273" s="20"/>
      <c r="G273" s="55"/>
      <c r="H273" s="13"/>
      <c r="I273" s="5"/>
    </row>
    <row r="274" spans="1:9" x14ac:dyDescent="0.2">
      <c r="A274" s="20"/>
      <c r="B274" s="21"/>
      <c r="C274" s="21"/>
      <c r="D274" s="9"/>
      <c r="E274" s="27"/>
      <c r="F274" s="20"/>
      <c r="G274" s="55"/>
      <c r="H274" s="13"/>
      <c r="I274" s="5"/>
    </row>
    <row r="275" spans="1:9" x14ac:dyDescent="0.2">
      <c r="A275" s="20"/>
      <c r="B275" s="21"/>
      <c r="C275" s="21"/>
      <c r="D275" s="9"/>
      <c r="E275" s="27"/>
      <c r="F275" s="20"/>
      <c r="G275" s="55"/>
      <c r="H275" s="13"/>
      <c r="I275" s="5"/>
    </row>
    <row r="276" spans="1:9" x14ac:dyDescent="0.2">
      <c r="A276" s="8"/>
      <c r="B276" s="21"/>
      <c r="G276" s="52"/>
      <c r="H276" s="13"/>
      <c r="I276" s="5"/>
    </row>
    <row r="277" spans="1:9" x14ac:dyDescent="0.2">
      <c r="A277" s="8"/>
      <c r="B277" s="21"/>
      <c r="G277" s="52"/>
      <c r="H277" s="13"/>
      <c r="I277" s="5"/>
    </row>
    <row r="278" spans="1:9" x14ac:dyDescent="0.2">
      <c r="A278" s="19"/>
      <c r="B278" s="81"/>
      <c r="C278" s="81"/>
      <c r="D278" s="18"/>
      <c r="E278" s="35"/>
      <c r="F278" s="69"/>
      <c r="G278" s="51"/>
      <c r="H278" s="12"/>
      <c r="I278" s="5"/>
    </row>
    <row r="279" spans="1:9" x14ac:dyDescent="0.2">
      <c r="A279" s="8"/>
      <c r="G279" s="52"/>
      <c r="H279" s="13"/>
      <c r="I279" s="5"/>
    </row>
    <row r="280" spans="1:9" x14ac:dyDescent="0.2">
      <c r="A280" s="8"/>
      <c r="B280" s="9"/>
      <c r="C280" s="9"/>
      <c r="D280" s="9"/>
      <c r="E280" s="26"/>
      <c r="F280" s="8"/>
      <c r="G280" s="53"/>
      <c r="H280" s="13"/>
      <c r="I280" s="5"/>
    </row>
    <row r="281" spans="1:9" x14ac:dyDescent="0.2">
      <c r="A281" s="8"/>
      <c r="B281" s="9"/>
      <c r="C281" s="9"/>
      <c r="D281" s="9"/>
      <c r="E281" s="26"/>
      <c r="F281" s="8"/>
      <c r="G281" s="53"/>
      <c r="H281" s="13"/>
      <c r="I281" s="5"/>
    </row>
    <row r="282" spans="1:9" x14ac:dyDescent="0.2">
      <c r="A282" s="8"/>
      <c r="B282" s="9"/>
      <c r="C282" s="9"/>
      <c r="D282" s="9"/>
      <c r="E282" s="26"/>
      <c r="F282" s="8"/>
      <c r="G282" s="53"/>
      <c r="H282" s="13"/>
      <c r="I282" s="3"/>
    </row>
    <row r="283" spans="1:9" x14ac:dyDescent="0.2">
      <c r="A283" s="17"/>
      <c r="B283" s="10"/>
      <c r="C283" s="10"/>
      <c r="D283" s="9"/>
      <c r="E283" s="17"/>
      <c r="F283" s="70"/>
      <c r="G283" s="54"/>
      <c r="H283" s="13"/>
      <c r="I283" s="3"/>
    </row>
    <row r="284" spans="1:9" x14ac:dyDescent="0.2">
      <c r="A284" s="8"/>
      <c r="B284" s="9"/>
      <c r="C284" s="9"/>
      <c r="D284" s="9"/>
      <c r="E284" s="26"/>
      <c r="F284" s="8"/>
      <c r="G284" s="53"/>
      <c r="H284" s="13"/>
      <c r="I284" s="3"/>
    </row>
    <row r="285" spans="1:9" x14ac:dyDescent="0.2">
      <c r="A285" s="8"/>
      <c r="B285" s="9"/>
      <c r="C285" s="9"/>
      <c r="D285" s="9"/>
      <c r="E285" s="26"/>
      <c r="F285" s="8"/>
      <c r="G285" s="53"/>
      <c r="H285" s="13"/>
    </row>
    <row r="286" spans="1:9" x14ac:dyDescent="0.2">
      <c r="A286" s="8"/>
      <c r="B286" s="9"/>
      <c r="C286" s="9"/>
      <c r="D286" s="9"/>
      <c r="E286" s="26"/>
      <c r="F286" s="8"/>
      <c r="G286" s="53"/>
      <c r="H286" s="13"/>
      <c r="I286" s="6"/>
    </row>
    <row r="287" spans="1:9" x14ac:dyDescent="0.2">
      <c r="A287" s="8"/>
      <c r="B287" s="9"/>
      <c r="C287" s="9"/>
      <c r="D287" s="9"/>
      <c r="E287" s="26"/>
      <c r="G287" s="52"/>
      <c r="H287" s="13"/>
      <c r="I287" s="3"/>
    </row>
    <row r="288" spans="1:9" x14ac:dyDescent="0.2">
      <c r="A288" s="8"/>
      <c r="B288" s="9"/>
      <c r="C288" s="9"/>
      <c r="D288" s="9"/>
      <c r="E288" s="26"/>
      <c r="G288" s="52"/>
      <c r="H288" s="13"/>
      <c r="I288" s="3"/>
    </row>
    <row r="289" spans="1:9" x14ac:dyDescent="0.2">
      <c r="A289" s="20"/>
      <c r="B289" s="21"/>
      <c r="C289" s="21"/>
      <c r="D289" s="9"/>
      <c r="E289" s="27"/>
      <c r="F289" s="20"/>
      <c r="G289" s="55"/>
      <c r="H289" s="13"/>
      <c r="I289" s="3"/>
    </row>
    <row r="290" spans="1:9" x14ac:dyDescent="0.2">
      <c r="A290" s="20"/>
      <c r="B290" s="21"/>
      <c r="C290" s="21"/>
      <c r="D290" s="9"/>
      <c r="E290" s="27"/>
      <c r="F290" s="20"/>
      <c r="G290" s="55"/>
      <c r="H290" s="13"/>
      <c r="I290" s="3"/>
    </row>
    <row r="291" spans="1:9" x14ac:dyDescent="0.2">
      <c r="A291" s="20"/>
      <c r="B291" s="21"/>
      <c r="C291" s="21"/>
      <c r="D291" s="9"/>
      <c r="E291" s="27"/>
      <c r="F291" s="20"/>
      <c r="G291" s="55"/>
      <c r="H291" s="13"/>
      <c r="I291" s="3"/>
    </row>
    <row r="292" spans="1:9" x14ac:dyDescent="0.2">
      <c r="A292" s="8"/>
      <c r="B292" s="21"/>
      <c r="C292" s="9"/>
      <c r="D292" s="9"/>
      <c r="E292" s="26"/>
      <c r="G292" s="52"/>
      <c r="H292" s="13"/>
      <c r="I292" s="3"/>
    </row>
    <row r="293" spans="1:9" x14ac:dyDescent="0.2">
      <c r="A293" s="8"/>
      <c r="B293" s="21"/>
      <c r="C293" s="9"/>
      <c r="D293" s="9"/>
      <c r="G293" s="52"/>
      <c r="H293" s="13"/>
      <c r="I293" s="3"/>
    </row>
    <row r="294" spans="1:9" x14ac:dyDescent="0.2">
      <c r="A294" s="19"/>
      <c r="B294" s="81"/>
      <c r="C294" s="81"/>
      <c r="D294" s="18"/>
      <c r="E294" s="35"/>
      <c r="F294" s="69"/>
      <c r="G294" s="51"/>
      <c r="H294" s="12"/>
      <c r="I294" s="3"/>
    </row>
    <row r="295" spans="1:9" x14ac:dyDescent="0.2">
      <c r="A295" s="8"/>
      <c r="B295" s="9"/>
      <c r="G295" s="52"/>
      <c r="H295" s="13"/>
      <c r="I295" s="3"/>
    </row>
    <row r="296" spans="1:9" x14ac:dyDescent="0.2">
      <c r="A296" s="8"/>
      <c r="C296" s="9"/>
      <c r="D296" s="9"/>
      <c r="E296" s="26"/>
      <c r="F296" s="8"/>
      <c r="G296" s="53"/>
      <c r="H296" s="13"/>
      <c r="I296" s="3"/>
    </row>
    <row r="297" spans="1:9" x14ac:dyDescent="0.2">
      <c r="A297" s="8"/>
      <c r="B297" s="9"/>
      <c r="C297" s="9"/>
      <c r="D297" s="9"/>
      <c r="E297" s="26"/>
      <c r="F297" s="8"/>
      <c r="G297" s="53"/>
      <c r="H297" s="13"/>
      <c r="I297" s="3"/>
    </row>
    <row r="298" spans="1:9" x14ac:dyDescent="0.2">
      <c r="A298" s="8"/>
      <c r="B298" s="9"/>
      <c r="C298" s="9"/>
      <c r="D298" s="9"/>
      <c r="F298" s="8"/>
      <c r="G298" s="57"/>
      <c r="H298" s="13"/>
      <c r="I298" s="3"/>
    </row>
    <row r="299" spans="1:9" x14ac:dyDescent="0.2">
      <c r="A299" s="17"/>
      <c r="B299" s="10"/>
      <c r="C299" s="10"/>
      <c r="D299" s="9"/>
      <c r="E299" s="26"/>
      <c r="F299" s="70"/>
      <c r="G299" s="54"/>
      <c r="H299" s="13"/>
      <c r="I299" s="3"/>
    </row>
    <row r="300" spans="1:9" x14ac:dyDescent="0.2">
      <c r="A300" s="8"/>
      <c r="B300" s="9"/>
      <c r="C300" s="9"/>
      <c r="D300" s="9"/>
      <c r="E300" s="26"/>
      <c r="F300" s="8"/>
      <c r="G300" s="57"/>
      <c r="H300" s="13"/>
      <c r="I300" s="3"/>
    </row>
    <row r="301" spans="1:9" x14ac:dyDescent="0.2">
      <c r="A301" s="8"/>
      <c r="B301" s="9"/>
      <c r="C301" s="9"/>
      <c r="D301" s="9"/>
      <c r="E301" s="26"/>
      <c r="F301" s="8"/>
      <c r="G301" s="57"/>
      <c r="H301" s="13"/>
      <c r="I301" s="3"/>
    </row>
    <row r="302" spans="1:9" x14ac:dyDescent="0.2">
      <c r="A302" s="4"/>
      <c r="B302" s="9"/>
      <c r="C302" s="9"/>
      <c r="D302" s="9"/>
      <c r="E302" s="26"/>
      <c r="G302" s="58"/>
      <c r="H302" s="13"/>
      <c r="I302" s="3"/>
    </row>
    <row r="303" spans="1:9" x14ac:dyDescent="0.2">
      <c r="A303" s="4"/>
      <c r="B303" s="9"/>
      <c r="C303" s="9"/>
      <c r="D303" s="9"/>
      <c r="E303" s="26"/>
      <c r="G303" s="58"/>
      <c r="H303" s="13"/>
      <c r="I303" s="3"/>
    </row>
    <row r="304" spans="1:9" x14ac:dyDescent="0.2">
      <c r="A304" s="4"/>
      <c r="B304" s="9"/>
      <c r="C304" s="9"/>
      <c r="D304" s="9"/>
      <c r="E304" s="26"/>
      <c r="G304" s="58"/>
      <c r="H304" s="13"/>
      <c r="I304" s="3"/>
    </row>
    <row r="305" spans="1:9" x14ac:dyDescent="0.2">
      <c r="A305" s="20"/>
      <c r="B305" s="21"/>
      <c r="C305" s="21"/>
      <c r="D305" s="9"/>
      <c r="E305" s="27"/>
      <c r="F305" s="20"/>
      <c r="G305" s="59"/>
      <c r="H305" s="13"/>
      <c r="I305" s="3"/>
    </row>
    <row r="306" spans="1:9" x14ac:dyDescent="0.2">
      <c r="A306" s="20"/>
      <c r="B306" s="21"/>
      <c r="C306" s="21"/>
      <c r="D306" s="9"/>
      <c r="E306" s="27"/>
      <c r="F306" s="20"/>
      <c r="G306" s="59"/>
      <c r="H306" s="13"/>
      <c r="I306" s="3"/>
    </row>
    <row r="307" spans="1:9" x14ac:dyDescent="0.2">
      <c r="A307" s="20"/>
      <c r="B307" s="21"/>
      <c r="C307" s="21"/>
      <c r="D307" s="9"/>
      <c r="E307" s="27"/>
      <c r="F307" s="20"/>
      <c r="G307" s="59"/>
      <c r="H307" s="13"/>
      <c r="I307" s="3"/>
    </row>
    <row r="308" spans="1:9" x14ac:dyDescent="0.2">
      <c r="A308" s="4"/>
      <c r="B308" s="21"/>
      <c r="D308" s="9"/>
      <c r="E308" s="27"/>
      <c r="G308" s="58"/>
      <c r="H308" s="3"/>
      <c r="I308" s="3"/>
    </row>
    <row r="309" spans="1:9" x14ac:dyDescent="0.2">
      <c r="A309" s="4"/>
      <c r="B309" s="21"/>
      <c r="D309" s="9"/>
      <c r="E309" s="27"/>
      <c r="G309" s="58"/>
      <c r="H309" s="3"/>
      <c r="I309" s="3"/>
    </row>
    <row r="310" spans="1:9" x14ac:dyDescent="0.2">
      <c r="A310" s="4"/>
      <c r="H310" s="3"/>
      <c r="I310" s="3"/>
    </row>
  </sheetData>
  <mergeCells count="26">
    <mergeCell ref="B100:C100"/>
    <mergeCell ref="B111:C111"/>
    <mergeCell ref="J1:K1"/>
    <mergeCell ref="J12:K12"/>
    <mergeCell ref="J23:K23"/>
    <mergeCell ref="J34:K34"/>
    <mergeCell ref="J45:K45"/>
    <mergeCell ref="B278:C278"/>
    <mergeCell ref="B294:C294"/>
    <mergeCell ref="B110:C110"/>
    <mergeCell ref="B122:C122"/>
    <mergeCell ref="B133:C133"/>
    <mergeCell ref="B143:C143"/>
    <mergeCell ref="B144:C144"/>
    <mergeCell ref="B155:C155"/>
    <mergeCell ref="B45:C45"/>
    <mergeCell ref="B56:C56"/>
    <mergeCell ref="B89:C89"/>
    <mergeCell ref="B1:C1"/>
    <mergeCell ref="B12:C12"/>
    <mergeCell ref="B33:C33"/>
    <mergeCell ref="B23:C23"/>
    <mergeCell ref="B34:C34"/>
    <mergeCell ref="B67:C67"/>
    <mergeCell ref="B78:C78"/>
    <mergeCell ref="B88:C8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2022-10-04T19:47:09Z</dcterms:modified>
</cp:coreProperties>
</file>