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2/Mouse experiments/"/>
    </mc:Choice>
  </mc:AlternateContent>
  <xr:revisionPtr revIDLastSave="0" documentId="13_ncr:1_{46538C56-9707-B741-9957-A99569831535}" xr6:coauthVersionLast="47" xr6:coauthVersionMax="47" xr10:uidLastSave="{00000000-0000-0000-0000-000000000000}"/>
  <bookViews>
    <workbookView xWindow="39040" yWindow="1220" windowWidth="28800" windowHeight="1750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46" i="5" l="1"/>
  <c r="F139" i="5"/>
  <c r="F132" i="5"/>
  <c r="F125" i="5"/>
  <c r="F118" i="5"/>
  <c r="F111" i="5"/>
  <c r="F104" i="5"/>
  <c r="F97" i="5"/>
  <c r="F90" i="5"/>
  <c r="F83" i="5"/>
  <c r="F76" i="5"/>
  <c r="F69" i="5"/>
  <c r="F62" i="5"/>
  <c r="F55" i="5"/>
  <c r="F48" i="5"/>
  <c r="F41" i="5"/>
  <c r="F34" i="5"/>
  <c r="F27" i="5"/>
  <c r="F20" i="5"/>
  <c r="F13" i="5"/>
  <c r="F6" i="5"/>
  <c r="H79" i="5"/>
  <c r="H61" i="5"/>
  <c r="H60" i="5"/>
  <c r="H59" i="5"/>
  <c r="H58" i="5"/>
  <c r="F145" i="5"/>
  <c r="F144" i="5"/>
  <c r="F143" i="5"/>
  <c r="F142" i="5"/>
  <c r="F138" i="5"/>
  <c r="F137" i="5"/>
  <c r="F136" i="5"/>
  <c r="F135" i="5"/>
  <c r="F131" i="5"/>
  <c r="F130" i="5"/>
  <c r="F129" i="5"/>
  <c r="F128" i="5"/>
  <c r="F124" i="5"/>
  <c r="F123" i="5"/>
  <c r="F122" i="5"/>
  <c r="F121" i="5"/>
  <c r="F117" i="5"/>
  <c r="F116" i="5"/>
  <c r="F115" i="5"/>
  <c r="F114" i="5"/>
  <c r="F110" i="5"/>
  <c r="F109" i="5"/>
  <c r="F108" i="5"/>
  <c r="F107" i="5"/>
  <c r="F103" i="5"/>
  <c r="F102" i="5"/>
  <c r="F101" i="5"/>
  <c r="F100" i="5"/>
  <c r="F96" i="5"/>
  <c r="F95" i="5"/>
  <c r="F94" i="5"/>
  <c r="F93" i="5"/>
  <c r="F89" i="5"/>
  <c r="F88" i="5"/>
  <c r="F87" i="5"/>
  <c r="F86" i="5"/>
  <c r="F82" i="5"/>
  <c r="F81" i="5"/>
  <c r="F80" i="5"/>
  <c r="F79" i="5"/>
  <c r="F75" i="5"/>
  <c r="F74" i="5"/>
  <c r="F73" i="5"/>
  <c r="F72" i="5"/>
  <c r="F68" i="5"/>
  <c r="F67" i="5"/>
  <c r="F66" i="5"/>
  <c r="F65" i="5"/>
  <c r="F61" i="5"/>
  <c r="F60" i="5"/>
  <c r="F59" i="5"/>
  <c r="F58" i="5"/>
  <c r="F54" i="5"/>
  <c r="F53" i="5"/>
  <c r="F52" i="5"/>
  <c r="F51" i="5"/>
  <c r="F47" i="5"/>
  <c r="F46" i="5"/>
  <c r="F45" i="5"/>
  <c r="F44" i="5"/>
  <c r="F40" i="5"/>
  <c r="F39" i="5"/>
  <c r="F38" i="5"/>
  <c r="F37" i="5"/>
  <c r="F33" i="5"/>
  <c r="F32" i="5"/>
  <c r="F31" i="5"/>
  <c r="F30" i="5"/>
  <c r="G26" i="5"/>
  <c r="F26" i="5"/>
  <c r="F25" i="5"/>
  <c r="F24" i="5"/>
  <c r="F23" i="5"/>
  <c r="F19" i="5"/>
  <c r="F18" i="5"/>
  <c r="F17" i="5"/>
  <c r="F16" i="5"/>
  <c r="F12" i="5"/>
  <c r="F11" i="5"/>
  <c r="F10" i="5"/>
  <c r="F9" i="5"/>
  <c r="F5" i="5"/>
  <c r="F4" i="5"/>
  <c r="F3" i="5"/>
  <c r="F2" i="5"/>
  <c r="D146" i="5"/>
  <c r="H146" i="5" s="1"/>
  <c r="D145" i="5"/>
  <c r="G145" i="5" s="1"/>
  <c r="H144" i="5"/>
  <c r="G144" i="5"/>
  <c r="D144" i="5"/>
  <c r="D143" i="5"/>
  <c r="H143" i="5" s="1"/>
  <c r="D142" i="5"/>
  <c r="H142" i="5" s="1"/>
  <c r="D139" i="5"/>
  <c r="G139" i="5" s="1"/>
  <c r="H138" i="5"/>
  <c r="G138" i="5"/>
  <c r="D138" i="5"/>
  <c r="D137" i="5"/>
  <c r="H137" i="5" s="1"/>
  <c r="D136" i="5"/>
  <c r="H136" i="5" s="1"/>
  <c r="H135" i="5"/>
  <c r="D135" i="5"/>
  <c r="G135" i="5" s="1"/>
  <c r="D132" i="5"/>
  <c r="H132" i="5" s="1"/>
  <c r="D131" i="5"/>
  <c r="G131" i="5" s="1"/>
  <c r="D130" i="5"/>
  <c r="H130" i="5" s="1"/>
  <c r="D129" i="5"/>
  <c r="G129" i="5" s="1"/>
  <c r="G128" i="5"/>
  <c r="D128" i="5"/>
  <c r="H128" i="5" s="1"/>
  <c r="D125" i="5"/>
  <c r="H125" i="5" s="1"/>
  <c r="D124" i="5"/>
  <c r="G124" i="5" s="1"/>
  <c r="H123" i="5"/>
  <c r="G123" i="5"/>
  <c r="D123" i="5"/>
  <c r="D122" i="5"/>
  <c r="H122" i="5" s="1"/>
  <c r="D121" i="5"/>
  <c r="H121" i="5" s="1"/>
  <c r="H118" i="5"/>
  <c r="D118" i="5"/>
  <c r="G118" i="5" s="1"/>
  <c r="D117" i="5"/>
  <c r="H117" i="5" s="1"/>
  <c r="D116" i="5"/>
  <c r="H116" i="5" s="1"/>
  <c r="D115" i="5"/>
  <c r="H115" i="5" s="1"/>
  <c r="D114" i="5"/>
  <c r="G114" i="5" s="1"/>
  <c r="D111" i="5"/>
  <c r="H111" i="5" s="1"/>
  <c r="D110" i="5"/>
  <c r="D109" i="5"/>
  <c r="H109" i="5" s="1"/>
  <c r="D108" i="5"/>
  <c r="G108" i="5" s="1"/>
  <c r="H107" i="5"/>
  <c r="G107" i="5"/>
  <c r="D107" i="5"/>
  <c r="L31" i="4"/>
  <c r="L30" i="4"/>
  <c r="M30" i="4" s="1"/>
  <c r="N30" i="4" s="1"/>
  <c r="L29" i="4"/>
  <c r="L28" i="4"/>
  <c r="L27" i="4"/>
  <c r="L26" i="4"/>
  <c r="M26" i="4" s="1"/>
  <c r="N26" i="4" s="1"/>
  <c r="L25" i="4"/>
  <c r="L24" i="4"/>
  <c r="L23" i="4"/>
  <c r="L22" i="4"/>
  <c r="M22" i="4" s="1"/>
  <c r="N22" i="4" s="1"/>
  <c r="L21" i="4"/>
  <c r="L20" i="4"/>
  <c r="L19" i="4"/>
  <c r="L18" i="4"/>
  <c r="M18" i="4" s="1"/>
  <c r="N18" i="4" s="1"/>
  <c r="N4" i="4"/>
  <c r="N6" i="4"/>
  <c r="N8" i="4"/>
  <c r="N10" i="4"/>
  <c r="N12" i="4"/>
  <c r="N14" i="4"/>
  <c r="M14" i="4"/>
  <c r="M12" i="4"/>
  <c r="M10" i="4"/>
  <c r="M8" i="4"/>
  <c r="M6" i="4"/>
  <c r="M4" i="4"/>
  <c r="M2" i="4"/>
  <c r="L6" i="4"/>
  <c r="L7" i="4"/>
  <c r="L8" i="4"/>
  <c r="L9" i="4"/>
  <c r="L10" i="4"/>
  <c r="L11" i="4"/>
  <c r="L12" i="4"/>
  <c r="L13" i="4"/>
  <c r="L14" i="4"/>
  <c r="L15" i="4"/>
  <c r="D104" i="5"/>
  <c r="D103" i="5"/>
  <c r="D102" i="5"/>
  <c r="D101" i="5"/>
  <c r="D100" i="5"/>
  <c r="G100" i="5" s="1"/>
  <c r="D97" i="5"/>
  <c r="D96" i="5"/>
  <c r="D95" i="5"/>
  <c r="D94" i="5"/>
  <c r="D93" i="5"/>
  <c r="D90" i="5"/>
  <c r="D89" i="5"/>
  <c r="D88" i="5"/>
  <c r="D87" i="5"/>
  <c r="D86" i="5"/>
  <c r="D83" i="5"/>
  <c r="D82" i="5"/>
  <c r="D81" i="5"/>
  <c r="D80" i="5"/>
  <c r="D79" i="5"/>
  <c r="G79" i="5" s="1"/>
  <c r="D73" i="5"/>
  <c r="D76" i="5"/>
  <c r="D75" i="5"/>
  <c r="H75" i="5" s="1"/>
  <c r="D74" i="5"/>
  <c r="H74" i="5" s="1"/>
  <c r="D72" i="5"/>
  <c r="D69" i="5"/>
  <c r="D68" i="5"/>
  <c r="G68" i="5" s="1"/>
  <c r="D67" i="5"/>
  <c r="H67" i="5" s="1"/>
  <c r="D66" i="5"/>
  <c r="D65" i="5"/>
  <c r="D62" i="5"/>
  <c r="D61" i="5"/>
  <c r="D60" i="5"/>
  <c r="D59" i="5"/>
  <c r="D58" i="5"/>
  <c r="D55" i="5"/>
  <c r="D54" i="5"/>
  <c r="D53" i="5"/>
  <c r="D52" i="5"/>
  <c r="D51" i="5"/>
  <c r="D48" i="5"/>
  <c r="D47" i="5"/>
  <c r="H47" i="5" s="1"/>
  <c r="D46" i="5"/>
  <c r="D45" i="5"/>
  <c r="D44" i="5"/>
  <c r="H44" i="5" s="1"/>
  <c r="D37" i="5"/>
  <c r="H37" i="5" s="1"/>
  <c r="D41" i="5"/>
  <c r="H41" i="5" s="1"/>
  <c r="D40" i="5"/>
  <c r="H40" i="5" s="1"/>
  <c r="D39" i="5"/>
  <c r="H39" i="5" s="1"/>
  <c r="D38" i="5"/>
  <c r="H38" i="5" s="1"/>
  <c r="D34" i="5"/>
  <c r="H34" i="5" s="1"/>
  <c r="D33" i="5"/>
  <c r="H33" i="5" s="1"/>
  <c r="D32" i="5"/>
  <c r="H32" i="5" s="1"/>
  <c r="D31" i="5"/>
  <c r="H31" i="5" s="1"/>
  <c r="D30" i="5"/>
  <c r="H30" i="5" s="1"/>
  <c r="D27" i="5"/>
  <c r="D26" i="5"/>
  <c r="H26" i="5" s="1"/>
  <c r="D25" i="5"/>
  <c r="H25" i="5" s="1"/>
  <c r="D24" i="5"/>
  <c r="D23" i="5"/>
  <c r="H23" i="5" s="1"/>
  <c r="D20" i="5"/>
  <c r="D19" i="5"/>
  <c r="H19" i="5" s="1"/>
  <c r="D18" i="5"/>
  <c r="D17" i="5"/>
  <c r="H17" i="5" s="1"/>
  <c r="D16" i="5"/>
  <c r="H16" i="5" s="1"/>
  <c r="D13" i="5"/>
  <c r="H13" i="5" s="1"/>
  <c r="D12" i="5"/>
  <c r="G12" i="5" s="1"/>
  <c r="D11" i="5"/>
  <c r="G11" i="5" s="1"/>
  <c r="D10" i="5"/>
  <c r="H10" i="5" s="1"/>
  <c r="D9" i="5"/>
  <c r="G9" i="5" s="1"/>
  <c r="L5" i="4"/>
  <c r="L4" i="4"/>
  <c r="L2" i="4"/>
  <c r="H27" i="5" l="1"/>
  <c r="G27" i="5"/>
  <c r="H110" i="5"/>
  <c r="H18" i="5"/>
  <c r="H145" i="5"/>
  <c r="H139" i="5"/>
  <c r="H129" i="5"/>
  <c r="G132" i="5"/>
  <c r="H124" i="5"/>
  <c r="H114" i="5"/>
  <c r="G117" i="5"/>
  <c r="H108" i="5"/>
  <c r="G111" i="5"/>
  <c r="G137" i="5"/>
  <c r="G143" i="5"/>
  <c r="G130" i="5"/>
  <c r="H131" i="5"/>
  <c r="G136" i="5"/>
  <c r="G142" i="5"/>
  <c r="G146" i="5"/>
  <c r="G110" i="5"/>
  <c r="G116" i="5"/>
  <c r="G122" i="5"/>
  <c r="G109" i="5"/>
  <c r="G115" i="5"/>
  <c r="G121" i="5"/>
  <c r="G125" i="5"/>
  <c r="H103" i="5"/>
  <c r="H101" i="5"/>
  <c r="H72" i="5"/>
  <c r="H96" i="5"/>
  <c r="H100" i="5"/>
  <c r="H95" i="5"/>
  <c r="H51" i="5"/>
  <c r="H55" i="5"/>
  <c r="H45" i="5"/>
  <c r="H52" i="5"/>
  <c r="H53" i="5"/>
  <c r="H93" i="5"/>
  <c r="H68" i="5"/>
  <c r="H89" i="5"/>
  <c r="H80" i="5"/>
  <c r="H65" i="5"/>
  <c r="H46" i="5"/>
  <c r="H69" i="5"/>
  <c r="H82" i="5"/>
  <c r="H86" i="5"/>
  <c r="H90" i="5"/>
  <c r="H94" i="5"/>
  <c r="H66" i="5"/>
  <c r="H48" i="5"/>
  <c r="H83" i="5"/>
  <c r="H87" i="5"/>
  <c r="H54" i="5"/>
  <c r="H88" i="5"/>
  <c r="H104" i="5"/>
  <c r="G37" i="5"/>
  <c r="M28" i="4"/>
  <c r="N28" i="4" s="1"/>
  <c r="M20" i="4"/>
  <c r="N20" i="4" s="1"/>
  <c r="M24" i="4"/>
  <c r="N24" i="4" s="1"/>
  <c r="H102" i="5"/>
  <c r="G104" i="5"/>
  <c r="G103" i="5"/>
  <c r="G102" i="5"/>
  <c r="H97" i="5"/>
  <c r="G97" i="5"/>
  <c r="G96" i="5"/>
  <c r="G95" i="5"/>
  <c r="G90" i="5"/>
  <c r="G89" i="5"/>
  <c r="G88" i="5"/>
  <c r="H81" i="5"/>
  <c r="G83" i="5"/>
  <c r="G82" i="5"/>
  <c r="G81" i="5"/>
  <c r="H76" i="5"/>
  <c r="G76" i="5"/>
  <c r="G75" i="5"/>
  <c r="G74" i="5"/>
  <c r="G69" i="5"/>
  <c r="G67" i="5"/>
  <c r="G66" i="5"/>
  <c r="H62" i="5"/>
  <c r="G62" i="5"/>
  <c r="G61" i="5"/>
  <c r="G60" i="5"/>
  <c r="G59" i="5"/>
  <c r="G55" i="5"/>
  <c r="G54" i="5"/>
  <c r="G53" i="5"/>
  <c r="G52" i="5"/>
  <c r="G48" i="5"/>
  <c r="G47" i="5"/>
  <c r="G46" i="5"/>
  <c r="G45" i="5"/>
  <c r="G41" i="5"/>
  <c r="G40" i="5"/>
  <c r="G39" i="5"/>
  <c r="G38" i="5"/>
  <c r="G101" i="5"/>
  <c r="G94" i="5"/>
  <c r="G93" i="5"/>
  <c r="G87" i="5"/>
  <c r="G86" i="5"/>
  <c r="G80" i="5"/>
  <c r="H73" i="5"/>
  <c r="G73" i="5"/>
  <c r="G72" i="5"/>
  <c r="G65" i="5"/>
  <c r="G58" i="5"/>
  <c r="G51" i="5"/>
  <c r="G44" i="5"/>
  <c r="G34" i="5"/>
  <c r="G33" i="5"/>
  <c r="G32" i="5"/>
  <c r="G31" i="5"/>
  <c r="G30" i="5"/>
  <c r="G25" i="5"/>
  <c r="H24" i="5"/>
  <c r="G24" i="5"/>
  <c r="G23" i="5"/>
  <c r="H20" i="5"/>
  <c r="G20" i="5"/>
  <c r="G19" i="5"/>
  <c r="G18" i="5"/>
  <c r="G17" i="5"/>
  <c r="G16" i="5"/>
  <c r="G13" i="5"/>
  <c r="H12" i="5"/>
  <c r="H11" i="5"/>
  <c r="G10" i="5"/>
  <c r="H9" i="5"/>
  <c r="L3" i="4"/>
  <c r="N2" i="4" s="1"/>
  <c r="D6" i="5"/>
  <c r="D5" i="5"/>
  <c r="D4" i="5"/>
  <c r="D3" i="5"/>
  <c r="D2" i="5"/>
  <c r="H2" i="5" l="1"/>
  <c r="G2" i="5"/>
  <c r="H6" i="5"/>
  <c r="G6" i="5"/>
  <c r="H5" i="5"/>
  <c r="G5" i="5"/>
  <c r="H4" i="5"/>
  <c r="G4" i="5"/>
  <c r="H3" i="5"/>
  <c r="G3" i="5"/>
</calcChain>
</file>

<file path=xl/sharedStrings.xml><?xml version="1.0" encoding="utf-8"?>
<sst xmlns="http://schemas.openxmlformats.org/spreadsheetml/2006/main" count="273" uniqueCount="53">
  <si>
    <t>number of CFU (not diluted)</t>
  </si>
  <si>
    <t>mean in 10 µL</t>
  </si>
  <si>
    <t>feces weights (mg)</t>
  </si>
  <si>
    <t>Dilution factor</t>
  </si>
  <si>
    <t>Colony Count</t>
  </si>
  <si>
    <t>Dilution Factor</t>
  </si>
  <si>
    <t>Average CFUs</t>
  </si>
  <si>
    <t>Log CFUs</t>
  </si>
  <si>
    <t>CFUs/50uL</t>
  </si>
  <si>
    <t>OD reached</t>
  </si>
  <si>
    <t>Log10 CFU/g of organ</t>
  </si>
  <si>
    <t>Total amout of bacteria in organ</t>
  </si>
  <si>
    <t>day 3</t>
  </si>
  <si>
    <t>day 5</t>
  </si>
  <si>
    <t xml:space="preserve">day 7 </t>
  </si>
  <si>
    <t>day 10</t>
  </si>
  <si>
    <t>day 14</t>
  </si>
  <si>
    <t>BL048 7.5 (LB plates)</t>
  </si>
  <si>
    <t>10x0.157</t>
  </si>
  <si>
    <t>BL048 7.5 (LBirg5 plates)</t>
  </si>
  <si>
    <t>BL048 5.7 (LB plates)</t>
  </si>
  <si>
    <t>BL048 5 (LB plates)</t>
  </si>
  <si>
    <t>BL048 4 (LB plates)</t>
  </si>
  <si>
    <t>BL048 3 (LB plates)</t>
  </si>
  <si>
    <t>BL048 2 (LB plates)</t>
  </si>
  <si>
    <t>BL048 1 (LB plates)</t>
  </si>
  <si>
    <t>BL048 5.7 (LBirg5 plates)</t>
  </si>
  <si>
    <t>BL048 5 (LBirg5 plates)</t>
  </si>
  <si>
    <t>BL048 4 (LBirg5 plates)</t>
  </si>
  <si>
    <t>BL048 3 (LBirg5 plates)</t>
  </si>
  <si>
    <t>BL048 2 (LBirg5 plates)</t>
  </si>
  <si>
    <t>BL048 1 (LBirg5 plates)</t>
  </si>
  <si>
    <t xml:space="preserve">BL048 10^7.4 mouse 1 </t>
  </si>
  <si>
    <t>BL048 10^7.4 mouse 2</t>
  </si>
  <si>
    <t>BL048 10^7.4 mouse 3</t>
  </si>
  <si>
    <t xml:space="preserve">BL048 10^5.9 mouse 1 </t>
  </si>
  <si>
    <t xml:space="preserve">BL048 10^4.5 mouse 1 </t>
  </si>
  <si>
    <t>BL048 10^4.5 mouse 2</t>
  </si>
  <si>
    <t>BL048 10^4.5 mouse 3</t>
  </si>
  <si>
    <t xml:space="preserve">BL048 10^3.4 mouse 1 </t>
  </si>
  <si>
    <t>BL048 10^3.4 mouse 2</t>
  </si>
  <si>
    <t>BL048 10^3.4 mouse 3</t>
  </si>
  <si>
    <t xml:space="preserve">BL048 10^2.3 mouse 1 </t>
  </si>
  <si>
    <t xml:space="preserve">BL048 10^1.3 mouse 1 </t>
  </si>
  <si>
    <t>BL048 10^1.3 mouse 2</t>
  </si>
  <si>
    <t>BL048 10^1.3 mouse 3</t>
  </si>
  <si>
    <t>BL048 10^2.3 mouse 2</t>
  </si>
  <si>
    <t>BL048 10^2.3 mouse 3</t>
  </si>
  <si>
    <t xml:space="preserve">BL048 10^0.9 mouse 1 </t>
  </si>
  <si>
    <t>BL048 10^0.9 mouse 2</t>
  </si>
  <si>
    <t>BL048 10^0.9 mouse 3</t>
  </si>
  <si>
    <t>BL048 10^5.9 mouse 2</t>
  </si>
  <si>
    <t>BL048 10^5.9 mouse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</si>
</sst>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11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0" xfId="0" applyBorder="1"/>
    <xf numFmtId="11" fontId="0" fillId="0" borderId="0" xfId="0" applyNumberForma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3" borderId="0" xfId="0" applyFont="1" applyFill="1" applyAlignment="1">
      <alignment horizontal="center"/>
    </xf>
    <xf numFmtId="0" fontId="0" fillId="3" borderId="0" xfId="0" applyFont="1" applyFill="1"/>
    <xf numFmtId="164" fontId="0" fillId="3" borderId="0" xfId="0" applyNumberFormat="1" applyFont="1" applyFill="1"/>
    <xf numFmtId="164" fontId="0" fillId="3" borderId="0" xfId="0" applyNumberFormat="1" applyFill="1"/>
    <xf numFmtId="0" fontId="0" fillId="3" borderId="0" xfId="0" applyFill="1"/>
    <xf numFmtId="2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/>
    </xf>
    <xf numFmtId="2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 vertical="center" wrapText="1"/>
    </xf>
    <xf numFmtId="2" fontId="5" fillId="0" borderId="0" xfId="0" applyNumberFormat="1" applyFont="1" applyAlignment="1">
      <alignment horizontal="center"/>
    </xf>
    <xf numFmtId="2" fontId="0" fillId="0" borderId="0" xfId="0" applyNumberFormat="1" applyFont="1"/>
    <xf numFmtId="2" fontId="0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164" fontId="5" fillId="0" borderId="0" xfId="0" applyNumberFormat="1" applyFont="1" applyAlignment="1">
      <alignment horizontal="center" vertical="center" wrapText="1"/>
    </xf>
    <xf numFmtId="0" fontId="0" fillId="0" borderId="0" xfId="0" applyFont="1" applyFill="1" applyBorder="1"/>
    <xf numFmtId="0" fontId="0" fillId="0" borderId="0" xfId="0" applyFill="1" applyBorder="1" applyAlignment="1"/>
    <xf numFmtId="11" fontId="0" fillId="0" borderId="0" xfId="0" applyNumberForma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ont="1" applyFill="1"/>
    <xf numFmtId="2" fontId="0" fillId="0" borderId="0" xfId="0" applyNumberFormat="1" applyFill="1" applyAlignment="1">
      <alignment horizontal="center"/>
    </xf>
    <xf numFmtId="164" fontId="0" fillId="0" borderId="0" xfId="0" applyNumberFormat="1" applyFont="1" applyFill="1"/>
    <xf numFmtId="164" fontId="0" fillId="0" borderId="0" xfId="0" applyNumberFormat="1" applyFill="1"/>
    <xf numFmtId="0" fontId="1" fillId="3" borderId="0" xfId="0" applyFont="1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0" fontId="0" fillId="3" borderId="0" xfId="0" applyFill="1" applyAlignment="1">
      <alignment horizontal="center" vertical="center" wrapText="1"/>
    </xf>
    <xf numFmtId="164" fontId="0" fillId="3" borderId="0" xfId="0" applyNumberFormat="1" applyFill="1" applyAlignment="1">
      <alignment horizontal="center" vertical="center" wrapText="1"/>
    </xf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3" borderId="0" xfId="0" applyFill="1" applyAlignment="1">
      <alignment horizontal="center" wrapText="1"/>
    </xf>
    <xf numFmtId="0" fontId="0" fillId="3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1" fontId="0" fillId="0" borderId="0" xfId="0" applyNumberFormat="1" applyBorder="1" applyAlignment="1">
      <alignment horizontal="center" vertical="center" wrapText="1"/>
    </xf>
    <xf numFmtId="165" fontId="0" fillId="4" borderId="0" xfId="0" applyNumberFormat="1" applyFill="1" applyBorder="1" applyAlignment="1">
      <alignment horizontal="center" vertical="center"/>
    </xf>
    <xf numFmtId="165" fontId="0" fillId="2" borderId="0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31"/>
  <sheetViews>
    <sheetView topLeftCell="J1" workbookViewId="0">
      <selection activeCell="K25" sqref="K25"/>
    </sheetView>
  </sheetViews>
  <sheetFormatPr baseColWidth="10" defaultRowHeight="16" x14ac:dyDescent="0.2"/>
  <cols>
    <col min="2" max="2" width="15.6640625" customWidth="1"/>
    <col min="3" max="3" width="17.33203125" customWidth="1"/>
    <col min="8" max="8" width="12.6640625" customWidth="1"/>
    <col min="9" max="9" width="22.6640625" customWidth="1"/>
    <col min="10" max="10" width="13.1640625" customWidth="1"/>
    <col min="11" max="11" width="17.5" customWidth="1"/>
    <col min="13" max="13" width="14.33203125" customWidth="1"/>
  </cols>
  <sheetData>
    <row r="1" spans="1:16" x14ac:dyDescent="0.2">
      <c r="A1" s="34"/>
      <c r="B1" s="34"/>
      <c r="C1" s="34"/>
      <c r="D1" s="34"/>
      <c r="E1" s="34"/>
      <c r="F1" s="29"/>
      <c r="G1" s="29"/>
      <c r="I1" s="1"/>
      <c r="J1" s="7" t="s">
        <v>4</v>
      </c>
      <c r="K1" s="7" t="s">
        <v>5</v>
      </c>
      <c r="L1" s="7" t="s">
        <v>8</v>
      </c>
      <c r="M1" s="7" t="s">
        <v>6</v>
      </c>
      <c r="N1" s="7" t="s">
        <v>7</v>
      </c>
      <c r="P1" s="7" t="s">
        <v>9</v>
      </c>
    </row>
    <row r="2" spans="1:16" ht="16" customHeight="1" x14ac:dyDescent="0.2">
      <c r="A2" s="35"/>
      <c r="B2" s="36"/>
      <c r="C2" s="36"/>
      <c r="D2" s="31"/>
      <c r="E2" s="37"/>
      <c r="F2" s="29"/>
      <c r="G2" s="29"/>
      <c r="I2" s="80" t="s">
        <v>17</v>
      </c>
      <c r="J2" s="41">
        <v>55</v>
      </c>
      <c r="K2" s="42">
        <v>100000</v>
      </c>
      <c r="L2" s="42">
        <f>J2*5*K2</f>
        <v>27500000</v>
      </c>
      <c r="M2" s="81">
        <f>AVERAGE(L2:L3)</f>
        <v>27000000</v>
      </c>
      <c r="N2" s="83">
        <f>LOG10(M2)</f>
        <v>7.4313637641589869</v>
      </c>
      <c r="P2" s="84" t="s">
        <v>18</v>
      </c>
    </row>
    <row r="3" spans="1:16" x14ac:dyDescent="0.2">
      <c r="A3" s="38"/>
      <c r="B3" s="36"/>
      <c r="C3" s="36"/>
      <c r="D3" s="39"/>
      <c r="E3" s="40"/>
      <c r="F3" s="29"/>
      <c r="G3" s="29"/>
      <c r="I3" s="80"/>
      <c r="J3" s="41">
        <v>53</v>
      </c>
      <c r="K3" s="42">
        <v>100000</v>
      </c>
      <c r="L3" s="42">
        <f t="shared" ref="L3:L4" si="0">J3*5*K3</f>
        <v>26500000</v>
      </c>
      <c r="M3" s="81"/>
      <c r="N3" s="83"/>
      <c r="P3" s="84"/>
    </row>
    <row r="4" spans="1:16" x14ac:dyDescent="0.2">
      <c r="A4" s="35"/>
      <c r="B4" s="36"/>
      <c r="C4" s="36"/>
      <c r="D4" s="31"/>
      <c r="E4" s="37"/>
      <c r="F4" s="29"/>
      <c r="G4" s="29"/>
      <c r="I4" s="80" t="s">
        <v>20</v>
      </c>
      <c r="J4" s="29">
        <v>18</v>
      </c>
      <c r="K4" s="42">
        <v>10000</v>
      </c>
      <c r="L4" s="42">
        <f t="shared" si="0"/>
        <v>900000</v>
      </c>
      <c r="M4" s="81">
        <f>AVERAGE(L4:L5)</f>
        <v>875000</v>
      </c>
      <c r="N4" s="83">
        <f t="shared" ref="N4" si="1">LOG10(M4)</f>
        <v>5.9420080530223132</v>
      </c>
      <c r="P4" s="85">
        <v>0.31</v>
      </c>
    </row>
    <row r="5" spans="1:16" x14ac:dyDescent="0.2">
      <c r="A5" s="38"/>
      <c r="B5" s="36"/>
      <c r="C5" s="36"/>
      <c r="D5" s="39"/>
      <c r="E5" s="40"/>
      <c r="F5" s="29"/>
      <c r="G5" s="29"/>
      <c r="I5" s="80"/>
      <c r="J5" s="29">
        <v>17</v>
      </c>
      <c r="K5" s="42">
        <v>10000</v>
      </c>
      <c r="L5" s="42">
        <f>J5*5*K5</f>
        <v>850000</v>
      </c>
      <c r="M5" s="81"/>
      <c r="N5" s="83"/>
      <c r="P5" s="85"/>
    </row>
    <row r="6" spans="1:16" x14ac:dyDescent="0.2">
      <c r="A6" s="29"/>
      <c r="B6" s="29"/>
      <c r="C6" s="29"/>
      <c r="D6" s="29"/>
      <c r="E6" s="29"/>
      <c r="F6" s="29"/>
      <c r="G6" s="29"/>
      <c r="I6" s="80" t="s">
        <v>21</v>
      </c>
      <c r="J6" s="61">
        <v>8</v>
      </c>
      <c r="K6" s="62">
        <v>1000</v>
      </c>
      <c r="L6" s="42">
        <f t="shared" ref="L6:L15" si="2">J6*5*K6</f>
        <v>40000</v>
      </c>
      <c r="M6" s="81">
        <f>AVERAGE(L6:L7)</f>
        <v>32500</v>
      </c>
      <c r="N6" s="83">
        <f t="shared" ref="N6" si="3">LOG10(M6)</f>
        <v>4.5118833609788744</v>
      </c>
    </row>
    <row r="7" spans="1:16" ht="16" customHeight="1" x14ac:dyDescent="0.2">
      <c r="A7" s="29"/>
      <c r="B7" s="29"/>
      <c r="C7" s="29"/>
      <c r="D7" s="29"/>
      <c r="E7" s="29"/>
      <c r="F7" s="29"/>
      <c r="G7" s="29"/>
      <c r="I7" s="80"/>
      <c r="J7" s="61">
        <v>5</v>
      </c>
      <c r="K7" s="30">
        <v>1000</v>
      </c>
      <c r="L7" s="42">
        <f t="shared" si="2"/>
        <v>25000</v>
      </c>
      <c r="M7" s="81"/>
      <c r="N7" s="83"/>
      <c r="P7" s="43"/>
    </row>
    <row r="8" spans="1:16" x14ac:dyDescent="0.2">
      <c r="I8" s="80" t="s">
        <v>22</v>
      </c>
      <c r="J8" s="61">
        <v>41</v>
      </c>
      <c r="K8" s="62">
        <v>10</v>
      </c>
      <c r="L8" s="42">
        <f t="shared" si="2"/>
        <v>2050</v>
      </c>
      <c r="M8" s="81">
        <f>AVERAGE(L8:L9)</f>
        <v>2450</v>
      </c>
      <c r="N8" s="83">
        <f t="shared" ref="N8" si="4">LOG10(M8)</f>
        <v>3.3891660843645326</v>
      </c>
      <c r="P8" s="43"/>
    </row>
    <row r="9" spans="1:16" x14ac:dyDescent="0.2">
      <c r="H9" s="28"/>
      <c r="I9" s="80"/>
      <c r="J9" s="61">
        <v>57</v>
      </c>
      <c r="K9" s="62">
        <v>10</v>
      </c>
      <c r="L9" s="42">
        <f t="shared" si="2"/>
        <v>2850</v>
      </c>
      <c r="M9" s="81"/>
      <c r="N9" s="83"/>
      <c r="O9" s="28"/>
      <c r="P9" s="43"/>
    </row>
    <row r="10" spans="1:16" x14ac:dyDescent="0.2">
      <c r="H10" s="28"/>
      <c r="I10" s="80" t="s">
        <v>23</v>
      </c>
      <c r="J10" s="61">
        <v>26</v>
      </c>
      <c r="K10" s="62">
        <v>1</v>
      </c>
      <c r="L10" s="42">
        <f t="shared" si="2"/>
        <v>130</v>
      </c>
      <c r="M10" s="81">
        <f>AVERAGE(L10:L11)</f>
        <v>202.5</v>
      </c>
      <c r="N10" s="83">
        <f t="shared" ref="N10" si="5">LOG10(M10)</f>
        <v>2.3064250275506875</v>
      </c>
      <c r="O10" s="29"/>
      <c r="P10" s="31"/>
    </row>
    <row r="11" spans="1:16" x14ac:dyDescent="0.2">
      <c r="H11" s="28"/>
      <c r="I11" s="80"/>
      <c r="J11" s="61">
        <v>55</v>
      </c>
      <c r="K11" s="30">
        <v>1</v>
      </c>
      <c r="L11" s="42">
        <f t="shared" si="2"/>
        <v>275</v>
      </c>
      <c r="M11" s="81"/>
      <c r="N11" s="83"/>
      <c r="O11" s="29"/>
      <c r="P11" s="31"/>
    </row>
    <row r="12" spans="1:16" x14ac:dyDescent="0.2">
      <c r="H12" s="28"/>
      <c r="I12" s="80" t="s">
        <v>24</v>
      </c>
      <c r="J12" s="61">
        <v>2</v>
      </c>
      <c r="K12" s="30">
        <v>1</v>
      </c>
      <c r="L12" s="42">
        <f t="shared" si="2"/>
        <v>10</v>
      </c>
      <c r="M12" s="81">
        <f>AVERAGE(L12:L13)</f>
        <v>20</v>
      </c>
      <c r="N12" s="83">
        <f t="shared" ref="N12" si="6">LOG10(M12)</f>
        <v>1.3010299956639813</v>
      </c>
      <c r="O12" s="29"/>
      <c r="P12" s="31"/>
    </row>
    <row r="13" spans="1:16" x14ac:dyDescent="0.2">
      <c r="H13" s="28"/>
      <c r="I13" s="80"/>
      <c r="J13" s="61">
        <v>6</v>
      </c>
      <c r="K13" s="30">
        <v>1</v>
      </c>
      <c r="L13" s="42">
        <f t="shared" si="2"/>
        <v>30</v>
      </c>
      <c r="M13" s="81"/>
      <c r="N13" s="83"/>
      <c r="O13" s="29"/>
      <c r="P13" s="31"/>
    </row>
    <row r="14" spans="1:16" x14ac:dyDescent="0.2">
      <c r="H14" s="28"/>
      <c r="I14" s="80" t="s">
        <v>25</v>
      </c>
      <c r="J14" s="61">
        <v>3</v>
      </c>
      <c r="K14" s="30">
        <v>1</v>
      </c>
      <c r="L14" s="42">
        <f t="shared" si="2"/>
        <v>15</v>
      </c>
      <c r="M14" s="81">
        <f>AVERAGE(L14:L15)</f>
        <v>7.5</v>
      </c>
      <c r="N14" s="83">
        <f t="shared" ref="N14" si="7">LOG10(M14)</f>
        <v>0.87506126339170009</v>
      </c>
      <c r="O14" s="29"/>
      <c r="P14" s="29"/>
    </row>
    <row r="15" spans="1:16" x14ac:dyDescent="0.2">
      <c r="H15" s="28"/>
      <c r="I15" s="80"/>
      <c r="J15" s="61">
        <v>0</v>
      </c>
      <c r="K15" s="30">
        <v>1</v>
      </c>
      <c r="L15" s="42">
        <f t="shared" si="2"/>
        <v>0</v>
      </c>
      <c r="M15" s="81"/>
      <c r="N15" s="83"/>
      <c r="O15" s="29"/>
      <c r="P15" s="29"/>
    </row>
    <row r="16" spans="1:16" x14ac:dyDescent="0.2">
      <c r="H16" s="28"/>
      <c r="I16" s="28"/>
      <c r="J16" s="28"/>
      <c r="K16" s="28"/>
      <c r="L16" s="28"/>
      <c r="M16" s="28"/>
      <c r="N16" s="28"/>
      <c r="O16" s="28"/>
      <c r="P16" s="28"/>
    </row>
    <row r="17" spans="8:16" x14ac:dyDescent="0.2">
      <c r="H17" s="28"/>
      <c r="I17" s="28"/>
      <c r="J17" s="28"/>
      <c r="K17" s="28"/>
      <c r="L17" s="28"/>
      <c r="M17" s="28"/>
      <c r="N17" s="28"/>
      <c r="O17" s="28"/>
      <c r="P17" s="28"/>
    </row>
    <row r="18" spans="8:16" ht="16" customHeight="1" x14ac:dyDescent="0.2">
      <c r="H18" s="28"/>
      <c r="I18" s="80" t="s">
        <v>19</v>
      </c>
      <c r="J18" s="29">
        <v>5</v>
      </c>
      <c r="K18" s="42">
        <v>100000</v>
      </c>
      <c r="L18" s="42">
        <f>J18*5*K18</f>
        <v>2500000</v>
      </c>
      <c r="M18" s="81">
        <f>AVERAGE(L18:L19)</f>
        <v>2750000</v>
      </c>
      <c r="N18" s="82">
        <f>LOG10(M18)</f>
        <v>6.4393326938302629</v>
      </c>
      <c r="O18" s="28"/>
      <c r="P18" s="28"/>
    </row>
    <row r="19" spans="8:16" x14ac:dyDescent="0.2">
      <c r="I19" s="80"/>
      <c r="J19" s="29">
        <v>6</v>
      </c>
      <c r="K19" s="42">
        <v>100000</v>
      </c>
      <c r="L19" s="42">
        <f t="shared" ref="L19:L20" si="8">J19*5*K19</f>
        <v>3000000</v>
      </c>
      <c r="M19" s="81"/>
      <c r="N19" s="82"/>
    </row>
    <row r="20" spans="8:16" ht="16" customHeight="1" x14ac:dyDescent="0.2">
      <c r="I20" s="80" t="s">
        <v>26</v>
      </c>
      <c r="J20" s="29">
        <v>3</v>
      </c>
      <c r="K20" s="42">
        <v>10000</v>
      </c>
      <c r="L20" s="42">
        <f t="shared" si="8"/>
        <v>150000</v>
      </c>
      <c r="M20" s="81">
        <f>AVERAGE(L20:L21)</f>
        <v>400000</v>
      </c>
      <c r="N20" s="82">
        <f t="shared" ref="N20" si="9">LOG10(M20)</f>
        <v>5.6020599913279625</v>
      </c>
    </row>
    <row r="21" spans="8:16" x14ac:dyDescent="0.2">
      <c r="I21" s="80"/>
      <c r="J21" s="29">
        <v>13</v>
      </c>
      <c r="K21" s="42">
        <v>10000</v>
      </c>
      <c r="L21" s="42">
        <f>J21*5*K21</f>
        <v>650000</v>
      </c>
      <c r="M21" s="81"/>
      <c r="N21" s="82"/>
    </row>
    <row r="22" spans="8:16" ht="16" customHeight="1" x14ac:dyDescent="0.2">
      <c r="I22" s="80" t="s">
        <v>27</v>
      </c>
      <c r="J22" s="61">
        <v>32</v>
      </c>
      <c r="K22" s="62">
        <v>100</v>
      </c>
      <c r="L22" s="42">
        <f t="shared" ref="L22:L31" si="10">J22*5*K22</f>
        <v>16000</v>
      </c>
      <c r="M22" s="81">
        <f>AVERAGE(L22:L23)</f>
        <v>14750</v>
      </c>
      <c r="N22" s="82">
        <f t="shared" ref="N22" si="11">LOG10(M22)</f>
        <v>4.1687920203141822</v>
      </c>
    </row>
    <row r="23" spans="8:16" x14ac:dyDescent="0.2">
      <c r="I23" s="80"/>
      <c r="J23" s="61">
        <v>27</v>
      </c>
      <c r="K23" s="30">
        <v>100</v>
      </c>
      <c r="L23" s="42">
        <f t="shared" si="10"/>
        <v>13500</v>
      </c>
      <c r="M23" s="81"/>
      <c r="N23" s="82"/>
    </row>
    <row r="24" spans="8:16" ht="16" customHeight="1" x14ac:dyDescent="0.2">
      <c r="I24" s="80" t="s">
        <v>28</v>
      </c>
      <c r="J24" s="61">
        <v>19</v>
      </c>
      <c r="K24" s="62">
        <v>10</v>
      </c>
      <c r="L24" s="42">
        <f t="shared" si="10"/>
        <v>950</v>
      </c>
      <c r="M24" s="81">
        <f>AVERAGE(L24:L25)</f>
        <v>1300</v>
      </c>
      <c r="N24" s="82">
        <f t="shared" ref="N24" si="12">LOG10(M24)</f>
        <v>3.1139433523068369</v>
      </c>
    </row>
    <row r="25" spans="8:16" x14ac:dyDescent="0.2">
      <c r="I25" s="80"/>
      <c r="J25" s="61">
        <v>33</v>
      </c>
      <c r="K25" s="62">
        <v>10</v>
      </c>
      <c r="L25" s="42">
        <f t="shared" si="10"/>
        <v>1650</v>
      </c>
      <c r="M25" s="81"/>
      <c r="N25" s="82"/>
    </row>
    <row r="26" spans="8:16" ht="16" customHeight="1" x14ac:dyDescent="0.2">
      <c r="I26" s="80" t="s">
        <v>29</v>
      </c>
      <c r="J26" s="61">
        <v>30</v>
      </c>
      <c r="K26" s="62">
        <v>1</v>
      </c>
      <c r="L26" s="42">
        <f t="shared" si="10"/>
        <v>150</v>
      </c>
      <c r="M26" s="81">
        <f>AVERAGE(L26:L27)</f>
        <v>127.5</v>
      </c>
      <c r="N26" s="82">
        <f t="shared" ref="N26" si="13">LOG10(M26)</f>
        <v>2.1055101847699738</v>
      </c>
    </row>
    <row r="27" spans="8:16" x14ac:dyDescent="0.2">
      <c r="I27" s="80"/>
      <c r="J27" s="61">
        <v>21</v>
      </c>
      <c r="K27" s="30">
        <v>1</v>
      </c>
      <c r="L27" s="42">
        <f t="shared" si="10"/>
        <v>105</v>
      </c>
      <c r="M27" s="81"/>
      <c r="N27" s="82"/>
    </row>
    <row r="28" spans="8:16" ht="16" customHeight="1" x14ac:dyDescent="0.2">
      <c r="I28" s="80" t="s">
        <v>30</v>
      </c>
      <c r="J28" s="61">
        <v>0</v>
      </c>
      <c r="K28" s="30">
        <v>1</v>
      </c>
      <c r="L28" s="42">
        <f t="shared" si="10"/>
        <v>0</v>
      </c>
      <c r="M28" s="81">
        <f>AVERAGE(L28:L29)</f>
        <v>2.5</v>
      </c>
      <c r="N28" s="82">
        <f t="shared" ref="N28" si="14">LOG10(M28)</f>
        <v>0.3979400086720376</v>
      </c>
    </row>
    <row r="29" spans="8:16" x14ac:dyDescent="0.2">
      <c r="I29" s="80"/>
      <c r="J29" s="61">
        <v>1</v>
      </c>
      <c r="K29" s="30">
        <v>1</v>
      </c>
      <c r="L29" s="42">
        <f t="shared" si="10"/>
        <v>5</v>
      </c>
      <c r="M29" s="81"/>
      <c r="N29" s="82"/>
    </row>
    <row r="30" spans="8:16" ht="16" customHeight="1" x14ac:dyDescent="0.2">
      <c r="I30" s="80" t="s">
        <v>31</v>
      </c>
      <c r="J30" s="61">
        <v>0</v>
      </c>
      <c r="K30" s="30">
        <v>1</v>
      </c>
      <c r="L30" s="42">
        <f t="shared" si="10"/>
        <v>0</v>
      </c>
      <c r="M30" s="81">
        <f>AVERAGE(L30:L31)</f>
        <v>0</v>
      </c>
      <c r="N30" s="82" t="e">
        <f t="shared" ref="N30" si="15">LOG10(M30)</f>
        <v>#NUM!</v>
      </c>
    </row>
    <row r="31" spans="8:16" x14ac:dyDescent="0.2">
      <c r="I31" s="80"/>
      <c r="J31" s="61">
        <v>0</v>
      </c>
      <c r="K31" s="30">
        <v>1</v>
      </c>
      <c r="L31" s="42">
        <f t="shared" si="10"/>
        <v>0</v>
      </c>
      <c r="M31" s="81"/>
      <c r="N31" s="82"/>
    </row>
  </sheetData>
  <mergeCells count="44">
    <mergeCell ref="I2:I3"/>
    <mergeCell ref="I4:I5"/>
    <mergeCell ref="I6:I7"/>
    <mergeCell ref="P2:P3"/>
    <mergeCell ref="P4:P5"/>
    <mergeCell ref="M2:M3"/>
    <mergeCell ref="M4:M5"/>
    <mergeCell ref="M6:M7"/>
    <mergeCell ref="N2:N3"/>
    <mergeCell ref="N4:N5"/>
    <mergeCell ref="N6:N7"/>
    <mergeCell ref="N8:N9"/>
    <mergeCell ref="N10:N11"/>
    <mergeCell ref="N12:N13"/>
    <mergeCell ref="N14:N15"/>
    <mergeCell ref="I18:I19"/>
    <mergeCell ref="M18:M19"/>
    <mergeCell ref="N18:N19"/>
    <mergeCell ref="I8:I9"/>
    <mergeCell ref="I10:I11"/>
    <mergeCell ref="I12:I13"/>
    <mergeCell ref="I14:I15"/>
    <mergeCell ref="M8:M9"/>
    <mergeCell ref="M10:M11"/>
    <mergeCell ref="M12:M13"/>
    <mergeCell ref="M14:M15"/>
    <mergeCell ref="I20:I21"/>
    <mergeCell ref="M20:M21"/>
    <mergeCell ref="N20:N21"/>
    <mergeCell ref="I22:I23"/>
    <mergeCell ref="M22:M23"/>
    <mergeCell ref="N22:N23"/>
    <mergeCell ref="I24:I25"/>
    <mergeCell ref="M24:M25"/>
    <mergeCell ref="N24:N25"/>
    <mergeCell ref="I26:I27"/>
    <mergeCell ref="M26:M27"/>
    <mergeCell ref="N26:N27"/>
    <mergeCell ref="I28:I29"/>
    <mergeCell ref="M28:M29"/>
    <mergeCell ref="N28:N29"/>
    <mergeCell ref="I30:I31"/>
    <mergeCell ref="M30:M31"/>
    <mergeCell ref="N30:N3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J306"/>
  <sheetViews>
    <sheetView tabSelected="1" topLeftCell="A57" zoomScale="93" zoomScaleNormal="100" workbookViewId="0">
      <selection activeCell="F147" sqref="F147"/>
    </sheetView>
  </sheetViews>
  <sheetFormatPr baseColWidth="10" defaultRowHeight="16" x14ac:dyDescent="0.2"/>
  <cols>
    <col min="1" max="1" width="16.83203125" customWidth="1"/>
    <col min="5" max="5" width="10.83203125" style="1"/>
    <col min="6" max="6" width="10.83203125" style="4"/>
    <col min="7" max="7" width="14.83203125" style="5" customWidth="1"/>
    <col min="8" max="8" width="12" customWidth="1"/>
    <col min="10" max="10" width="18" customWidth="1"/>
  </cols>
  <sheetData>
    <row r="1" spans="1:10" ht="45" customHeight="1" x14ac:dyDescent="0.2">
      <c r="A1" s="2" t="s">
        <v>32</v>
      </c>
      <c r="B1" s="86" t="s">
        <v>0</v>
      </c>
      <c r="C1" s="86"/>
      <c r="D1" s="16" t="s">
        <v>1</v>
      </c>
      <c r="E1" s="33" t="s">
        <v>3</v>
      </c>
      <c r="F1" s="74" t="s">
        <v>2</v>
      </c>
      <c r="G1" s="49" t="s">
        <v>11</v>
      </c>
      <c r="H1" s="12" t="s">
        <v>10</v>
      </c>
      <c r="I1" s="12"/>
    </row>
    <row r="2" spans="1:10" x14ac:dyDescent="0.2">
      <c r="A2" s="8" t="s">
        <v>12</v>
      </c>
      <c r="B2">
        <v>16</v>
      </c>
      <c r="C2">
        <v>17</v>
      </c>
      <c r="D2">
        <f>AVERAGE(B2:C2)</f>
        <v>16.5</v>
      </c>
      <c r="E2" s="1">
        <v>10</v>
      </c>
      <c r="F2" s="4">
        <f>1683.3-1669.6</f>
        <v>13.700000000000045</v>
      </c>
      <c r="G2" s="50">
        <f>LOG10(D2*E2*100)</f>
        <v>4.2174839442139067</v>
      </c>
      <c r="H2" s="13">
        <f>LOG10(D2*100*E2/F2*1000)</f>
        <v>6.0807633770574983</v>
      </c>
      <c r="I2" s="14"/>
    </row>
    <row r="3" spans="1:10" x14ac:dyDescent="0.2">
      <c r="A3" s="8" t="s">
        <v>13</v>
      </c>
      <c r="B3" s="9">
        <v>45</v>
      </c>
      <c r="C3" s="9">
        <v>36</v>
      </c>
      <c r="D3" s="9">
        <f t="shared" ref="D3:D6" si="0">AVERAGE(B3:C3)</f>
        <v>40.5</v>
      </c>
      <c r="E3" s="26">
        <v>10</v>
      </c>
      <c r="F3" s="8">
        <f>1702.4-1663.7</f>
        <v>38.700000000000045</v>
      </c>
      <c r="G3" s="50">
        <f t="shared" ref="G3:G62" si="1">LOG10(D3*E3*100)</f>
        <v>4.6074550232146683</v>
      </c>
      <c r="H3" s="13">
        <f>LOG10(D3*100*E3/F3*1000)</f>
        <v>6.0197440581957569</v>
      </c>
      <c r="I3" s="14"/>
    </row>
    <row r="4" spans="1:10" x14ac:dyDescent="0.2">
      <c r="A4" s="8" t="s">
        <v>14</v>
      </c>
      <c r="B4" s="9">
        <v>14</v>
      </c>
      <c r="C4" s="9">
        <v>19</v>
      </c>
      <c r="D4" s="9">
        <f t="shared" si="0"/>
        <v>16.5</v>
      </c>
      <c r="E4" s="26">
        <v>10</v>
      </c>
      <c r="F4" s="8">
        <f>1723.2-1699.2</f>
        <v>24</v>
      </c>
      <c r="G4" s="50">
        <f t="shared" si="1"/>
        <v>4.2174839442139067</v>
      </c>
      <c r="H4" s="13">
        <f t="shared" ref="H4:H6" si="2">LOG10(D4*100*E4/F4*1000)</f>
        <v>5.8372727025023003</v>
      </c>
      <c r="I4" s="14"/>
    </row>
    <row r="5" spans="1:10" x14ac:dyDescent="0.2">
      <c r="A5" s="8" t="s">
        <v>15</v>
      </c>
      <c r="B5" s="9">
        <v>3</v>
      </c>
      <c r="C5" s="9">
        <v>4</v>
      </c>
      <c r="D5" s="9">
        <f t="shared" si="0"/>
        <v>3.5</v>
      </c>
      <c r="E5" s="26">
        <v>1</v>
      </c>
      <c r="F5" s="8">
        <f>1972.2-1851.4</f>
        <v>120.79999999999995</v>
      </c>
      <c r="G5" s="50">
        <f t="shared" si="1"/>
        <v>2.5440680443502757</v>
      </c>
      <c r="H5" s="13">
        <f t="shared" si="2"/>
        <v>3.4620011100651626</v>
      </c>
      <c r="I5" s="14"/>
    </row>
    <row r="6" spans="1:10" ht="20" customHeight="1" x14ac:dyDescent="0.2">
      <c r="A6" s="17" t="s">
        <v>16</v>
      </c>
      <c r="B6" s="10">
        <v>2</v>
      </c>
      <c r="C6" s="10">
        <v>3</v>
      </c>
      <c r="D6" s="9">
        <f t="shared" si="0"/>
        <v>2.5</v>
      </c>
      <c r="E6" s="17">
        <v>1</v>
      </c>
      <c r="F6" s="75">
        <f>1766.3-1699.8</f>
        <v>66.5</v>
      </c>
      <c r="G6" s="50">
        <f t="shared" si="1"/>
        <v>2.3979400086720375</v>
      </c>
      <c r="H6" s="13">
        <f t="shared" si="2"/>
        <v>3.575118363368933</v>
      </c>
      <c r="I6" s="14"/>
    </row>
    <row r="7" spans="1:10" x14ac:dyDescent="0.2">
      <c r="A7" s="8"/>
      <c r="B7" s="9"/>
      <c r="C7" s="9"/>
      <c r="D7" s="9"/>
      <c r="E7" s="26"/>
      <c r="F7" s="8"/>
      <c r="G7" s="50"/>
      <c r="H7" s="13"/>
      <c r="I7" s="14"/>
    </row>
    <row r="8" spans="1:10" ht="51" x14ac:dyDescent="0.2">
      <c r="A8" s="2" t="s">
        <v>33</v>
      </c>
      <c r="B8" s="86" t="s">
        <v>0</v>
      </c>
      <c r="C8" s="86"/>
      <c r="D8" s="32" t="s">
        <v>1</v>
      </c>
      <c r="E8" s="33" t="s">
        <v>3</v>
      </c>
      <c r="F8" s="74" t="s">
        <v>2</v>
      </c>
      <c r="G8" s="49" t="s">
        <v>11</v>
      </c>
      <c r="H8" s="12" t="s">
        <v>10</v>
      </c>
      <c r="I8" s="14"/>
      <c r="J8" s="4"/>
    </row>
    <row r="9" spans="1:10" x14ac:dyDescent="0.2">
      <c r="A9" s="8" t="s">
        <v>12</v>
      </c>
      <c r="B9" s="60">
        <v>0</v>
      </c>
      <c r="C9">
        <v>0</v>
      </c>
      <c r="D9">
        <f>AVERAGE(B9:C9)</f>
        <v>0</v>
      </c>
      <c r="E9" s="1">
        <v>1</v>
      </c>
      <c r="F9" s="4">
        <f>1664.9-1649.4</f>
        <v>15.5</v>
      </c>
      <c r="G9" s="50" t="e">
        <f t="shared" si="1"/>
        <v>#NUM!</v>
      </c>
      <c r="H9" s="13" t="e">
        <f>LOG10(D9*100*E9/F9*1000)</f>
        <v>#NUM!</v>
      </c>
      <c r="I9" s="14"/>
    </row>
    <row r="10" spans="1:10" x14ac:dyDescent="0.2">
      <c r="A10" s="8" t="s">
        <v>13</v>
      </c>
      <c r="B10" s="9">
        <v>0</v>
      </c>
      <c r="C10" s="9">
        <v>0</v>
      </c>
      <c r="D10" s="9">
        <f t="shared" ref="D10:D13" si="3">AVERAGE(B10:C10)</f>
        <v>0</v>
      </c>
      <c r="E10" s="26">
        <v>1</v>
      </c>
      <c r="F10" s="8">
        <f>1718.2-1690.1</f>
        <v>28.100000000000136</v>
      </c>
      <c r="G10" s="50" t="e">
        <f t="shared" si="1"/>
        <v>#NUM!</v>
      </c>
      <c r="H10" s="13" t="e">
        <f>LOG10(D10*100*E10/F10*1000)</f>
        <v>#NUM!</v>
      </c>
      <c r="I10" s="14"/>
    </row>
    <row r="11" spans="1:10" x14ac:dyDescent="0.2">
      <c r="A11" s="8" t="s">
        <v>14</v>
      </c>
      <c r="B11" s="9">
        <v>10</v>
      </c>
      <c r="C11" s="9">
        <v>7</v>
      </c>
      <c r="D11" s="9">
        <f t="shared" si="3"/>
        <v>8.5</v>
      </c>
      <c r="E11" s="26">
        <v>1</v>
      </c>
      <c r="F11" s="8">
        <f>1753.6-1729.1</f>
        <v>24.5</v>
      </c>
      <c r="G11" s="50">
        <f t="shared" si="1"/>
        <v>2.9294189257142929</v>
      </c>
      <c r="H11" s="13">
        <f t="shared" ref="H11:H13" si="4">LOG10(D11*100*E11/F11*1000)</f>
        <v>4.5402528413497603</v>
      </c>
      <c r="I11" s="14"/>
    </row>
    <row r="12" spans="1:10" x14ac:dyDescent="0.2">
      <c r="A12" s="8" t="s">
        <v>15</v>
      </c>
      <c r="B12" s="9">
        <v>2</v>
      </c>
      <c r="C12" s="9">
        <v>0</v>
      </c>
      <c r="D12" s="9">
        <f t="shared" si="3"/>
        <v>1</v>
      </c>
      <c r="E12" s="26">
        <v>1</v>
      </c>
      <c r="F12" s="8">
        <f>1693.8-1582.6</f>
        <v>111.20000000000005</v>
      </c>
      <c r="G12" s="50">
        <f>LOG10(D12*E12*100)</f>
        <v>2</v>
      </c>
      <c r="H12" s="13">
        <f t="shared" si="4"/>
        <v>2.9538952127539613</v>
      </c>
      <c r="I12" s="14"/>
    </row>
    <row r="13" spans="1:10" ht="17" x14ac:dyDescent="0.2">
      <c r="A13" s="17" t="s">
        <v>16</v>
      </c>
      <c r="B13" s="10">
        <v>0</v>
      </c>
      <c r="C13" s="10">
        <v>0</v>
      </c>
      <c r="D13" s="9">
        <f t="shared" si="3"/>
        <v>0</v>
      </c>
      <c r="E13" s="17">
        <v>1</v>
      </c>
      <c r="F13" s="75">
        <f>1794.1-1766.8</f>
        <v>27.299999999999955</v>
      </c>
      <c r="G13" s="50" t="e">
        <f t="shared" si="1"/>
        <v>#NUM!</v>
      </c>
      <c r="H13" s="13" t="e">
        <f t="shared" si="4"/>
        <v>#NUM!</v>
      </c>
      <c r="I13" s="14"/>
    </row>
    <row r="14" spans="1:10" x14ac:dyDescent="0.2">
      <c r="A14" s="8"/>
      <c r="B14" s="9"/>
      <c r="C14" s="9"/>
      <c r="D14" s="9"/>
      <c r="E14" s="26"/>
      <c r="G14" s="50"/>
      <c r="H14" s="13"/>
      <c r="I14" s="14"/>
    </row>
    <row r="15" spans="1:10" ht="51" x14ac:dyDescent="0.2">
      <c r="A15" s="2" t="s">
        <v>34</v>
      </c>
      <c r="B15" s="86" t="s">
        <v>0</v>
      </c>
      <c r="C15" s="86"/>
      <c r="D15" s="32" t="s">
        <v>1</v>
      </c>
      <c r="E15" s="33" t="s">
        <v>3</v>
      </c>
      <c r="F15" s="74" t="s">
        <v>2</v>
      </c>
      <c r="G15" s="49" t="s">
        <v>11</v>
      </c>
      <c r="H15" s="12" t="s">
        <v>10</v>
      </c>
      <c r="I15" s="14"/>
    </row>
    <row r="16" spans="1:10" x14ac:dyDescent="0.2">
      <c r="A16" s="8" t="s">
        <v>12</v>
      </c>
      <c r="B16">
        <v>36</v>
      </c>
      <c r="C16">
        <v>39</v>
      </c>
      <c r="D16">
        <f>AVERAGE(B16:C16)</f>
        <v>37.5</v>
      </c>
      <c r="E16" s="1">
        <v>10</v>
      </c>
      <c r="F16" s="4">
        <f>1701.1-1690.2</f>
        <v>10.899999999999864</v>
      </c>
      <c r="G16" s="50">
        <f t="shared" si="1"/>
        <v>4.5740312677277188</v>
      </c>
      <c r="H16" s="13">
        <f>LOG10(D16*100*E16/F16*1000)</f>
        <v>6.5366047697871004</v>
      </c>
      <c r="I16" s="14"/>
    </row>
    <row r="17" spans="1:9" x14ac:dyDescent="0.2">
      <c r="A17" s="8" t="s">
        <v>13</v>
      </c>
      <c r="B17" s="9">
        <v>19</v>
      </c>
      <c r="C17" s="9">
        <v>22</v>
      </c>
      <c r="D17" s="9">
        <f t="shared" ref="D17:D20" si="5">AVERAGE(B17:C17)</f>
        <v>20.5</v>
      </c>
      <c r="E17" s="26">
        <v>100</v>
      </c>
      <c r="F17" s="8">
        <f>1688.4-1645.7</f>
        <v>42.700000000000045</v>
      </c>
      <c r="G17" s="50">
        <f t="shared" si="1"/>
        <v>5.3117538610557542</v>
      </c>
      <c r="H17" s="13">
        <f>LOG10(D17*100*E17/F17*1000)</f>
        <v>6.6813259860307301</v>
      </c>
      <c r="I17" s="14"/>
    </row>
    <row r="18" spans="1:9" x14ac:dyDescent="0.2">
      <c r="A18" s="8" t="s">
        <v>14</v>
      </c>
      <c r="B18" s="9">
        <v>30</v>
      </c>
      <c r="C18" s="9">
        <v>20</v>
      </c>
      <c r="D18" s="9">
        <f t="shared" si="5"/>
        <v>25</v>
      </c>
      <c r="E18" s="26">
        <v>1</v>
      </c>
      <c r="F18" s="8">
        <f>1834-1769.3</f>
        <v>64.700000000000045</v>
      </c>
      <c r="G18" s="50">
        <f t="shared" si="1"/>
        <v>3.3979400086720375</v>
      </c>
      <c r="H18" s="13">
        <f t="shared" ref="H18:H20" si="6">LOG10(D18*100*E18/F18*1000)</f>
        <v>4.5870357280033369</v>
      </c>
      <c r="I18" s="14"/>
    </row>
    <row r="19" spans="1:9" x14ac:dyDescent="0.2">
      <c r="A19" s="8" t="s">
        <v>15</v>
      </c>
      <c r="B19" s="9">
        <v>7</v>
      </c>
      <c r="C19" s="9">
        <v>2</v>
      </c>
      <c r="D19" s="9">
        <f t="shared" si="5"/>
        <v>4.5</v>
      </c>
      <c r="E19" s="26">
        <v>1</v>
      </c>
      <c r="F19" s="8">
        <f>1933.1-1848.8</f>
        <v>84.299999999999955</v>
      </c>
      <c r="G19" s="50">
        <f t="shared" si="1"/>
        <v>2.6532125137753435</v>
      </c>
      <c r="H19" s="13">
        <f t="shared" si="6"/>
        <v>3.7273849391506015</v>
      </c>
      <c r="I19" s="14"/>
    </row>
    <row r="20" spans="1:9" ht="17" x14ac:dyDescent="0.2">
      <c r="A20" s="17" t="s">
        <v>16</v>
      </c>
      <c r="B20" s="10">
        <v>0</v>
      </c>
      <c r="C20" s="10">
        <v>0</v>
      </c>
      <c r="D20" s="9">
        <f t="shared" si="5"/>
        <v>0</v>
      </c>
      <c r="E20" s="17">
        <v>1</v>
      </c>
      <c r="F20" s="75">
        <f>1705.5-1686.2</f>
        <v>19.299999999999955</v>
      </c>
      <c r="G20" s="50" t="e">
        <f t="shared" si="1"/>
        <v>#NUM!</v>
      </c>
      <c r="H20" s="13" t="e">
        <f t="shared" si="6"/>
        <v>#NUM!</v>
      </c>
      <c r="I20" s="14"/>
    </row>
    <row r="21" spans="1:9" s="48" customFormat="1" x14ac:dyDescent="0.2">
      <c r="A21" s="44"/>
      <c r="B21" s="45"/>
      <c r="C21" s="45"/>
      <c r="D21" s="45"/>
      <c r="E21" s="77"/>
      <c r="F21" s="44"/>
      <c r="G21" s="58"/>
      <c r="H21" s="46"/>
      <c r="I21" s="47"/>
    </row>
    <row r="22" spans="1:9" ht="51" x14ac:dyDescent="0.2">
      <c r="A22" s="2" t="s">
        <v>35</v>
      </c>
      <c r="B22" s="86" t="s">
        <v>0</v>
      </c>
      <c r="C22" s="86"/>
      <c r="D22" s="32" t="s">
        <v>1</v>
      </c>
      <c r="E22" s="33" t="s">
        <v>3</v>
      </c>
      <c r="F22" s="74" t="s">
        <v>2</v>
      </c>
      <c r="G22" s="49" t="s">
        <v>11</v>
      </c>
      <c r="H22" s="12" t="s">
        <v>10</v>
      </c>
      <c r="I22" s="14"/>
    </row>
    <row r="23" spans="1:9" x14ac:dyDescent="0.2">
      <c r="A23" s="8" t="s">
        <v>12</v>
      </c>
      <c r="B23" s="60">
        <v>8</v>
      </c>
      <c r="C23">
        <v>5</v>
      </c>
      <c r="D23">
        <f>AVERAGE(B23:C23)</f>
        <v>6.5</v>
      </c>
      <c r="E23" s="1">
        <v>10</v>
      </c>
      <c r="F23" s="4">
        <f>1753.2-1737.3</f>
        <v>15.900000000000091</v>
      </c>
      <c r="G23" s="50">
        <f t="shared" si="1"/>
        <v>3.8129133566428557</v>
      </c>
      <c r="H23" s="13">
        <f>LOG10(D23*100*E23/F23*1000)</f>
        <v>5.6115162323224013</v>
      </c>
      <c r="I23" s="14"/>
    </row>
    <row r="24" spans="1:9" ht="16" customHeight="1" x14ac:dyDescent="0.2">
      <c r="A24" s="8" t="s">
        <v>13</v>
      </c>
      <c r="B24" s="60">
        <v>39</v>
      </c>
      <c r="C24" s="9">
        <v>32</v>
      </c>
      <c r="D24" s="9">
        <f t="shared" ref="D24:D27" si="7">AVERAGE(B24:C24)</f>
        <v>35.5</v>
      </c>
      <c r="E24" s="26">
        <v>1</v>
      </c>
      <c r="F24" s="8">
        <f>1762.3-1746.3</f>
        <v>16</v>
      </c>
      <c r="G24" s="50">
        <f t="shared" si="1"/>
        <v>3.5502283530550942</v>
      </c>
      <c r="H24" s="13">
        <f>LOG10(D24*100*E24/F24*1000)</f>
        <v>5.3461083703991692</v>
      </c>
      <c r="I24" s="14"/>
    </row>
    <row r="25" spans="1:9" ht="16" customHeight="1" x14ac:dyDescent="0.2">
      <c r="A25" s="8" t="s">
        <v>14</v>
      </c>
      <c r="B25" s="60">
        <v>2</v>
      </c>
      <c r="C25" s="9">
        <v>2</v>
      </c>
      <c r="D25" s="9">
        <f t="shared" si="7"/>
        <v>2</v>
      </c>
      <c r="E25" s="26">
        <v>1</v>
      </c>
      <c r="F25" s="8">
        <f>1865.2-1831.6</f>
        <v>33.600000000000136</v>
      </c>
      <c r="G25" s="50">
        <f t="shared" si="1"/>
        <v>2.3010299956639813</v>
      </c>
      <c r="H25" s="13">
        <f t="shared" ref="H25:H27" si="8">LOG10(D25*100*E25/F25*1000)</f>
        <v>3.7746907182741354</v>
      </c>
      <c r="I25" s="14"/>
    </row>
    <row r="26" spans="1:9" x14ac:dyDescent="0.2">
      <c r="A26" s="8" t="s">
        <v>15</v>
      </c>
      <c r="B26" s="60">
        <v>0</v>
      </c>
      <c r="C26" s="9">
        <v>0</v>
      </c>
      <c r="D26" s="9">
        <f t="shared" si="7"/>
        <v>0</v>
      </c>
      <c r="E26" s="26">
        <v>1</v>
      </c>
      <c r="F26" s="8">
        <f>1778.4-1707.6</f>
        <v>70.800000000000182</v>
      </c>
      <c r="G26" s="50" t="e">
        <f t="shared" si="1"/>
        <v>#NUM!</v>
      </c>
      <c r="H26" s="13" t="e">
        <f t="shared" si="8"/>
        <v>#NUM!</v>
      </c>
      <c r="I26" s="14"/>
    </row>
    <row r="27" spans="1:9" ht="17" x14ac:dyDescent="0.2">
      <c r="A27" s="17" t="s">
        <v>16</v>
      </c>
      <c r="B27" s="10">
        <v>0</v>
      </c>
      <c r="C27" s="10">
        <v>0</v>
      </c>
      <c r="D27" s="9">
        <f t="shared" si="7"/>
        <v>0</v>
      </c>
      <c r="E27" s="17">
        <v>1</v>
      </c>
      <c r="F27" s="75">
        <f>1827.4-1670.4</f>
        <v>157</v>
      </c>
      <c r="G27" s="50" t="e">
        <f t="shared" si="1"/>
        <v>#NUM!</v>
      </c>
      <c r="H27" s="13" t="e">
        <f t="shared" si="8"/>
        <v>#NUM!</v>
      </c>
      <c r="I27" s="14"/>
    </row>
    <row r="28" spans="1:9" x14ac:dyDescent="0.2">
      <c r="A28" s="8"/>
      <c r="B28" s="9"/>
      <c r="C28" s="9"/>
      <c r="D28" s="9"/>
      <c r="E28" s="26"/>
      <c r="G28" s="50"/>
      <c r="H28" s="13"/>
      <c r="I28" s="14"/>
    </row>
    <row r="29" spans="1:9" ht="51" x14ac:dyDescent="0.2">
      <c r="A29" s="2" t="s">
        <v>51</v>
      </c>
      <c r="B29" s="86" t="s">
        <v>0</v>
      </c>
      <c r="C29" s="86"/>
      <c r="D29" s="32" t="s">
        <v>1</v>
      </c>
      <c r="E29" s="33" t="s">
        <v>3</v>
      </c>
      <c r="F29" s="74" t="s">
        <v>2</v>
      </c>
      <c r="G29" s="49" t="s">
        <v>11</v>
      </c>
      <c r="H29" s="59" t="s">
        <v>10</v>
      </c>
      <c r="I29" s="14"/>
    </row>
    <row r="30" spans="1:9" x14ac:dyDescent="0.2">
      <c r="A30" s="8" t="s">
        <v>12</v>
      </c>
      <c r="B30" s="60">
        <v>0</v>
      </c>
      <c r="C30" s="60">
        <v>0</v>
      </c>
      <c r="D30">
        <f>AVERAGE(B30:C30)</f>
        <v>0</v>
      </c>
      <c r="E30" s="1">
        <v>1</v>
      </c>
      <c r="F30" s="4">
        <f>1790.4-1711.2</f>
        <v>79.200000000000045</v>
      </c>
      <c r="G30" s="50" t="e">
        <f t="shared" si="1"/>
        <v>#NUM!</v>
      </c>
      <c r="H30" s="13" t="e">
        <f>LOG10(D30*100*E30/F30*1000)</f>
        <v>#NUM!</v>
      </c>
      <c r="I30" s="14"/>
    </row>
    <row r="31" spans="1:9" x14ac:dyDescent="0.2">
      <c r="A31" s="8" t="s">
        <v>13</v>
      </c>
      <c r="B31" s="60">
        <v>0</v>
      </c>
      <c r="C31" s="60">
        <v>0</v>
      </c>
      <c r="D31" s="9">
        <f t="shared" ref="D31:D34" si="9">AVERAGE(B31:C31)</f>
        <v>0</v>
      </c>
      <c r="E31" s="26">
        <v>1</v>
      </c>
      <c r="F31" s="8">
        <f>1760-1722.1</f>
        <v>37.900000000000091</v>
      </c>
      <c r="G31" s="50" t="e">
        <f t="shared" si="1"/>
        <v>#NUM!</v>
      </c>
      <c r="H31" s="13" t="e">
        <f>LOG10(D31*100*E31/F31*1000)</f>
        <v>#NUM!</v>
      </c>
      <c r="I31" s="14"/>
    </row>
    <row r="32" spans="1:9" x14ac:dyDescent="0.2">
      <c r="A32" s="8" t="s">
        <v>14</v>
      </c>
      <c r="B32" s="60">
        <v>0</v>
      </c>
      <c r="C32" s="9">
        <v>0</v>
      </c>
      <c r="D32" s="9">
        <f t="shared" si="9"/>
        <v>0</v>
      </c>
      <c r="E32" s="26">
        <v>1</v>
      </c>
      <c r="F32" s="8">
        <f>1827-1797.6</f>
        <v>29.400000000000091</v>
      </c>
      <c r="G32" s="50" t="e">
        <f t="shared" si="1"/>
        <v>#NUM!</v>
      </c>
      <c r="H32" s="13" t="e">
        <f t="shared" ref="H32:H34" si="10">LOG10(D32*100*E32/F32*1000)</f>
        <v>#NUM!</v>
      </c>
      <c r="I32" s="14"/>
    </row>
    <row r="33" spans="1:9" x14ac:dyDescent="0.2">
      <c r="A33" s="8" t="s">
        <v>15</v>
      </c>
      <c r="B33" s="60">
        <v>0</v>
      </c>
      <c r="C33" s="9">
        <v>0</v>
      </c>
      <c r="D33" s="9">
        <f t="shared" si="9"/>
        <v>0</v>
      </c>
      <c r="E33" s="26">
        <v>1</v>
      </c>
      <c r="F33" s="8">
        <f>1880.4-1756.5</f>
        <v>123.90000000000009</v>
      </c>
      <c r="G33" s="50" t="e">
        <f t="shared" si="1"/>
        <v>#NUM!</v>
      </c>
      <c r="H33" s="13" t="e">
        <f t="shared" si="10"/>
        <v>#NUM!</v>
      </c>
      <c r="I33" s="12"/>
    </row>
    <row r="34" spans="1:9" ht="17" x14ac:dyDescent="0.2">
      <c r="A34" s="17" t="s">
        <v>16</v>
      </c>
      <c r="B34" s="10">
        <v>0</v>
      </c>
      <c r="C34" s="10">
        <v>0</v>
      </c>
      <c r="D34" s="9">
        <f t="shared" si="9"/>
        <v>0</v>
      </c>
      <c r="E34" s="17">
        <v>1</v>
      </c>
      <c r="F34" s="75">
        <f>1878-1707.6</f>
        <v>170.40000000000009</v>
      </c>
      <c r="G34" s="50" t="e">
        <f t="shared" si="1"/>
        <v>#NUM!</v>
      </c>
      <c r="H34" s="13" t="e">
        <f t="shared" si="10"/>
        <v>#NUM!</v>
      </c>
      <c r="I34" s="14"/>
    </row>
    <row r="35" spans="1:9" s="28" customFormat="1" x14ac:dyDescent="0.2">
      <c r="A35" s="63"/>
      <c r="B35" s="64"/>
      <c r="C35" s="64"/>
      <c r="D35" s="64"/>
      <c r="E35" s="78"/>
      <c r="F35" s="63"/>
      <c r="G35" s="65"/>
      <c r="H35" s="66"/>
      <c r="I35" s="67"/>
    </row>
    <row r="36" spans="1:9" ht="51" x14ac:dyDescent="0.2">
      <c r="A36" s="2" t="s">
        <v>52</v>
      </c>
      <c r="B36" s="86" t="s">
        <v>0</v>
      </c>
      <c r="C36" s="86"/>
      <c r="D36" s="32" t="s">
        <v>1</v>
      </c>
      <c r="E36" s="33" t="s">
        <v>3</v>
      </c>
      <c r="F36" s="74" t="s">
        <v>2</v>
      </c>
      <c r="G36" s="49" t="s">
        <v>11</v>
      </c>
      <c r="H36" s="59" t="s">
        <v>10</v>
      </c>
      <c r="I36" s="14"/>
    </row>
    <row r="37" spans="1:9" x14ac:dyDescent="0.2">
      <c r="A37" s="8" t="s">
        <v>12</v>
      </c>
      <c r="B37">
        <v>0</v>
      </c>
      <c r="C37">
        <v>0</v>
      </c>
      <c r="D37">
        <f>AVERAGE(B37:C37)</f>
        <v>0</v>
      </c>
      <c r="E37" s="1">
        <v>1</v>
      </c>
      <c r="F37" s="4">
        <f>1702.5-1671.1</f>
        <v>31.400000000000091</v>
      </c>
      <c r="G37" s="50" t="e">
        <f t="shared" si="1"/>
        <v>#NUM!</v>
      </c>
      <c r="H37" s="13" t="e">
        <f>LOG10(D37*100*E37/F37*1000)</f>
        <v>#NUM!</v>
      </c>
      <c r="I37" s="14"/>
    </row>
    <row r="38" spans="1:9" x14ac:dyDescent="0.2">
      <c r="A38" s="8" t="s">
        <v>13</v>
      </c>
      <c r="B38">
        <v>0</v>
      </c>
      <c r="C38">
        <v>0</v>
      </c>
      <c r="D38">
        <f>AVERAGE(B38:C38)</f>
        <v>0</v>
      </c>
      <c r="E38" s="1">
        <v>1</v>
      </c>
      <c r="F38" s="4">
        <f>1684.8-1657.1</f>
        <v>27.700000000000045</v>
      </c>
      <c r="G38" s="50" t="e">
        <f t="shared" si="1"/>
        <v>#NUM!</v>
      </c>
      <c r="H38" s="13" t="e">
        <f>LOG10(D38*100*E38/F38*1000)</f>
        <v>#NUM!</v>
      </c>
      <c r="I38" s="14"/>
    </row>
    <row r="39" spans="1:9" x14ac:dyDescent="0.2">
      <c r="A39" s="8" t="s">
        <v>14</v>
      </c>
      <c r="B39" s="9">
        <v>0</v>
      </c>
      <c r="C39" s="9">
        <v>0</v>
      </c>
      <c r="D39" s="9">
        <f t="shared" ref="D39:D41" si="11">AVERAGE(B39:C39)</f>
        <v>0</v>
      </c>
      <c r="E39" s="26">
        <v>1</v>
      </c>
      <c r="F39" s="8">
        <f>1690.3-1661.8</f>
        <v>28.5</v>
      </c>
      <c r="G39" s="50" t="e">
        <f t="shared" si="1"/>
        <v>#NUM!</v>
      </c>
      <c r="H39" s="13" t="e">
        <f>LOG10(D39*100*E39/F39*1000)</f>
        <v>#NUM!</v>
      </c>
      <c r="I39" s="14"/>
    </row>
    <row r="40" spans="1:9" x14ac:dyDescent="0.2">
      <c r="A40" s="8" t="s">
        <v>15</v>
      </c>
      <c r="B40" s="9">
        <v>0</v>
      </c>
      <c r="C40" s="9">
        <v>0</v>
      </c>
      <c r="D40" s="9">
        <f t="shared" si="11"/>
        <v>0</v>
      </c>
      <c r="E40" s="26">
        <v>1</v>
      </c>
      <c r="F40" s="8">
        <f>1716.9-1621.3</f>
        <v>95.600000000000136</v>
      </c>
      <c r="G40" s="50" t="e">
        <f t="shared" si="1"/>
        <v>#NUM!</v>
      </c>
      <c r="H40" s="13" t="e">
        <f t="shared" ref="H40:H41" si="12">LOG10(D40*100*E40/F40*1000)</f>
        <v>#NUM!</v>
      </c>
      <c r="I40" s="14"/>
    </row>
    <row r="41" spans="1:9" ht="17" x14ac:dyDescent="0.2">
      <c r="A41" s="17" t="s">
        <v>16</v>
      </c>
      <c r="B41" s="10">
        <v>0</v>
      </c>
      <c r="C41" s="10">
        <v>0</v>
      </c>
      <c r="D41" s="9">
        <f t="shared" si="11"/>
        <v>0</v>
      </c>
      <c r="E41" s="17">
        <v>1</v>
      </c>
      <c r="F41" s="75">
        <f>1983.3-1762.6</f>
        <v>220.70000000000005</v>
      </c>
      <c r="G41" s="50" t="e">
        <f t="shared" si="1"/>
        <v>#NUM!</v>
      </c>
      <c r="H41" s="13" t="e">
        <f t="shared" si="12"/>
        <v>#NUM!</v>
      </c>
      <c r="I41" s="14"/>
    </row>
    <row r="42" spans="1:9" s="48" customFormat="1" x14ac:dyDescent="0.2">
      <c r="A42" s="68"/>
      <c r="B42" s="69"/>
      <c r="C42" s="69"/>
      <c r="D42" s="70"/>
      <c r="E42" s="70"/>
      <c r="F42" s="76"/>
      <c r="G42" s="58"/>
      <c r="H42" s="71"/>
      <c r="I42" s="47"/>
    </row>
    <row r="43" spans="1:9" ht="51" x14ac:dyDescent="0.2">
      <c r="A43" s="2" t="s">
        <v>36</v>
      </c>
      <c r="B43" s="86" t="s">
        <v>0</v>
      </c>
      <c r="C43" s="86"/>
      <c r="D43" s="32" t="s">
        <v>1</v>
      </c>
      <c r="E43" s="33" t="s">
        <v>3</v>
      </c>
      <c r="F43" s="74" t="s">
        <v>2</v>
      </c>
      <c r="G43" s="49" t="s">
        <v>11</v>
      </c>
      <c r="H43" s="59" t="s">
        <v>10</v>
      </c>
      <c r="I43" s="14"/>
    </row>
    <row r="44" spans="1:9" x14ac:dyDescent="0.2">
      <c r="A44" s="8" t="s">
        <v>12</v>
      </c>
      <c r="B44">
        <v>0</v>
      </c>
      <c r="C44">
        <v>0</v>
      </c>
      <c r="D44">
        <f>AVERAGE(B44:C44)</f>
        <v>0</v>
      </c>
      <c r="E44" s="1">
        <v>1</v>
      </c>
      <c r="F44" s="4">
        <f>1642.3-1624.9</f>
        <v>17.399999999999864</v>
      </c>
      <c r="G44" s="50" t="e">
        <f t="shared" si="1"/>
        <v>#NUM!</v>
      </c>
      <c r="H44" s="13" t="e">
        <f>LOG10(D44*100*E44/F44*1000)</f>
        <v>#NUM!</v>
      </c>
      <c r="I44" s="14"/>
    </row>
    <row r="45" spans="1:9" x14ac:dyDescent="0.2">
      <c r="A45" s="8" t="s">
        <v>13</v>
      </c>
      <c r="B45">
        <v>1</v>
      </c>
      <c r="C45">
        <v>0</v>
      </c>
      <c r="D45">
        <f>AVERAGE(B45:C45)</f>
        <v>0.5</v>
      </c>
      <c r="E45" s="1">
        <v>1</v>
      </c>
      <c r="F45" s="4">
        <f>1720.8-1705.6</f>
        <v>15.200000000000045</v>
      </c>
      <c r="G45" s="50">
        <f t="shared" si="1"/>
        <v>1.6989700043360187</v>
      </c>
      <c r="H45" s="13">
        <f>LOG10(D45*100*E45/F45*1000)</f>
        <v>3.5171264163912448</v>
      </c>
      <c r="I45" s="14"/>
    </row>
    <row r="46" spans="1:9" x14ac:dyDescent="0.2">
      <c r="A46" s="8" t="s">
        <v>14</v>
      </c>
      <c r="B46" s="9">
        <v>1</v>
      </c>
      <c r="C46" s="9">
        <v>1</v>
      </c>
      <c r="D46" s="9">
        <f t="shared" ref="D46:D48" si="13">AVERAGE(B46:C46)</f>
        <v>1</v>
      </c>
      <c r="E46" s="26">
        <v>1</v>
      </c>
      <c r="F46" s="8">
        <f>1646.2-1638.2</f>
        <v>8</v>
      </c>
      <c r="G46" s="50">
        <f t="shared" si="1"/>
        <v>2</v>
      </c>
      <c r="H46" s="13">
        <f>LOG10(D46*100*E46/F46*1000)</f>
        <v>4.0969100130080562</v>
      </c>
      <c r="I46" s="14"/>
    </row>
    <row r="47" spans="1:9" x14ac:dyDescent="0.2">
      <c r="A47" s="8" t="s">
        <v>15</v>
      </c>
      <c r="B47" s="9">
        <v>0</v>
      </c>
      <c r="C47" s="9">
        <v>0</v>
      </c>
      <c r="D47" s="9">
        <f t="shared" si="13"/>
        <v>0</v>
      </c>
      <c r="E47" s="26">
        <v>1</v>
      </c>
      <c r="F47" s="8">
        <f>2092.8-1939.4</f>
        <v>153.40000000000009</v>
      </c>
      <c r="G47" s="50" t="e">
        <f t="shared" si="1"/>
        <v>#NUM!</v>
      </c>
      <c r="H47" s="13" t="e">
        <f t="shared" ref="H47:H48" si="14">LOG10(D47*100*E47/F47*1000)</f>
        <v>#NUM!</v>
      </c>
      <c r="I47" s="14"/>
    </row>
    <row r="48" spans="1:9" ht="17" x14ac:dyDescent="0.2">
      <c r="A48" s="17" t="s">
        <v>16</v>
      </c>
      <c r="B48" s="9">
        <v>0</v>
      </c>
      <c r="C48" s="9">
        <v>0</v>
      </c>
      <c r="D48" s="9">
        <f t="shared" si="13"/>
        <v>0</v>
      </c>
      <c r="E48" s="26">
        <v>1</v>
      </c>
      <c r="F48" s="8">
        <f>1745.8-1612</f>
        <v>133.79999999999995</v>
      </c>
      <c r="G48" s="50" t="e">
        <f t="shared" si="1"/>
        <v>#NUM!</v>
      </c>
      <c r="H48" s="13" t="e">
        <f t="shared" si="14"/>
        <v>#NUM!</v>
      </c>
      <c r="I48" s="14"/>
    </row>
    <row r="49" spans="1:9" x14ac:dyDescent="0.2">
      <c r="A49" s="8"/>
      <c r="G49" s="50"/>
      <c r="H49" s="13"/>
      <c r="I49" s="14"/>
    </row>
    <row r="50" spans="1:9" ht="51" x14ac:dyDescent="0.2">
      <c r="A50" s="2" t="s">
        <v>37</v>
      </c>
      <c r="B50" s="86" t="s">
        <v>0</v>
      </c>
      <c r="C50" s="86"/>
      <c r="D50" s="32" t="s">
        <v>1</v>
      </c>
      <c r="E50" s="33" t="s">
        <v>3</v>
      </c>
      <c r="F50" s="74" t="s">
        <v>2</v>
      </c>
      <c r="G50" s="49" t="s">
        <v>11</v>
      </c>
      <c r="H50" s="59" t="s">
        <v>10</v>
      </c>
      <c r="I50" s="14"/>
    </row>
    <row r="51" spans="1:9" x14ac:dyDescent="0.2">
      <c r="A51" s="8" t="s">
        <v>12</v>
      </c>
      <c r="B51">
        <v>6</v>
      </c>
      <c r="C51">
        <v>5</v>
      </c>
      <c r="D51">
        <f>AVERAGE(B51:C51)</f>
        <v>5.5</v>
      </c>
      <c r="E51" s="1">
        <v>100</v>
      </c>
      <c r="F51" s="4">
        <f>1725-1706.9</f>
        <v>18.099999999999909</v>
      </c>
      <c r="G51" s="50">
        <f t="shared" si="1"/>
        <v>4.7403626894942441</v>
      </c>
      <c r="H51" s="13">
        <f>LOG10(D51*100*E51/F51*1000)</f>
        <v>6.4826841146250613</v>
      </c>
      <c r="I51" s="14"/>
    </row>
    <row r="52" spans="1:9" x14ac:dyDescent="0.2">
      <c r="A52" s="8" t="s">
        <v>13</v>
      </c>
      <c r="B52">
        <v>6</v>
      </c>
      <c r="C52">
        <v>7</v>
      </c>
      <c r="D52">
        <f>AVERAGE(B52:C52)</f>
        <v>6.5</v>
      </c>
      <c r="E52" s="1">
        <v>100</v>
      </c>
      <c r="F52" s="4">
        <f>1683.3-1667</f>
        <v>16.299999999999955</v>
      </c>
      <c r="G52" s="50">
        <f t="shared" si="1"/>
        <v>4.8129133566428557</v>
      </c>
      <c r="H52" s="13">
        <f>LOG10(D52*100*E52/F52*1000)</f>
        <v>6.6007257522388993</v>
      </c>
      <c r="I52" s="14"/>
    </row>
    <row r="53" spans="1:9" x14ac:dyDescent="0.2">
      <c r="A53" s="8" t="s">
        <v>14</v>
      </c>
      <c r="B53" s="9">
        <v>13</v>
      </c>
      <c r="C53" s="9">
        <v>11</v>
      </c>
      <c r="D53" s="9">
        <f t="shared" ref="D53:D55" si="15">AVERAGE(B53:C53)</f>
        <v>12</v>
      </c>
      <c r="E53" s="26">
        <v>1</v>
      </c>
      <c r="F53" s="8">
        <f>1677.6-1656.8</f>
        <v>20.799999999999955</v>
      </c>
      <c r="G53" s="50">
        <f t="shared" si="1"/>
        <v>3.0791812460476247</v>
      </c>
      <c r="H53" s="13">
        <f>LOG10(D53*100*E53/F53*1000)</f>
        <v>4.761117911084864</v>
      </c>
      <c r="I53" s="14"/>
    </row>
    <row r="54" spans="1:9" x14ac:dyDescent="0.2">
      <c r="A54" s="8" t="s">
        <v>15</v>
      </c>
      <c r="B54" s="9">
        <v>8</v>
      </c>
      <c r="C54" s="9">
        <v>15</v>
      </c>
      <c r="D54" s="9">
        <f t="shared" si="15"/>
        <v>11.5</v>
      </c>
      <c r="E54" s="26">
        <v>100</v>
      </c>
      <c r="F54" s="8">
        <f>1892.9-1776.2</f>
        <v>116.70000000000005</v>
      </c>
      <c r="G54" s="50">
        <f t="shared" si="1"/>
        <v>5.0606978403536118</v>
      </c>
      <c r="H54" s="13">
        <f t="shared" ref="H54:H55" si="16">LOG10(D54*100*E54/F54*1000)</f>
        <v>5.993626984308241</v>
      </c>
      <c r="I54" s="14"/>
    </row>
    <row r="55" spans="1:9" ht="17" x14ac:dyDescent="0.2">
      <c r="A55" s="17" t="s">
        <v>16</v>
      </c>
      <c r="B55" s="9">
        <v>2</v>
      </c>
      <c r="C55" s="9">
        <v>0</v>
      </c>
      <c r="D55" s="9">
        <f t="shared" si="15"/>
        <v>1</v>
      </c>
      <c r="E55" s="26">
        <v>1</v>
      </c>
      <c r="F55" s="8">
        <f>1679.3-1629.1</f>
        <v>50.200000000000045</v>
      </c>
      <c r="G55" s="50">
        <f t="shared" si="1"/>
        <v>2</v>
      </c>
      <c r="H55" s="13">
        <f t="shared" si="16"/>
        <v>3.2992962828549803</v>
      </c>
      <c r="I55" s="14"/>
    </row>
    <row r="56" spans="1:9" x14ac:dyDescent="0.2">
      <c r="A56" s="8"/>
      <c r="B56" s="9"/>
      <c r="C56" s="9"/>
      <c r="D56" s="9"/>
      <c r="E56" s="26"/>
      <c r="F56" s="8"/>
      <c r="G56" s="50"/>
      <c r="H56" s="13"/>
      <c r="I56" s="14"/>
    </row>
    <row r="57" spans="1:9" ht="51" x14ac:dyDescent="0.2">
      <c r="A57" s="2" t="s">
        <v>38</v>
      </c>
      <c r="B57" s="86" t="s">
        <v>0</v>
      </c>
      <c r="C57" s="86"/>
      <c r="D57" s="32" t="s">
        <v>1</v>
      </c>
      <c r="E57" s="33" t="s">
        <v>3</v>
      </c>
      <c r="F57" s="74" t="s">
        <v>2</v>
      </c>
      <c r="G57" s="49" t="s">
        <v>11</v>
      </c>
      <c r="H57" s="59" t="s">
        <v>10</v>
      </c>
      <c r="I57" s="14"/>
    </row>
    <row r="58" spans="1:9" x14ac:dyDescent="0.2">
      <c r="A58" s="8" t="s">
        <v>12</v>
      </c>
      <c r="B58">
        <v>0</v>
      </c>
      <c r="C58">
        <v>0</v>
      </c>
      <c r="D58">
        <f>AVERAGE(B58:C58)</f>
        <v>0</v>
      </c>
      <c r="E58" s="1">
        <v>1</v>
      </c>
      <c r="F58" s="4">
        <f>1720-1697.2</f>
        <v>22.799999999999955</v>
      </c>
      <c r="G58" s="50" t="e">
        <f t="shared" si="1"/>
        <v>#NUM!</v>
      </c>
      <c r="H58" s="13" t="e">
        <f>LOG10(D58*100*E58/F58*1000)</f>
        <v>#NUM!</v>
      </c>
      <c r="I58" s="14"/>
    </row>
    <row r="59" spans="1:9" x14ac:dyDescent="0.2">
      <c r="A59" s="8" t="s">
        <v>13</v>
      </c>
      <c r="B59">
        <v>1</v>
      </c>
      <c r="C59">
        <v>0</v>
      </c>
      <c r="D59">
        <f>AVERAGE(B59:C59)</f>
        <v>0.5</v>
      </c>
      <c r="E59" s="1">
        <v>1</v>
      </c>
      <c r="F59" s="4">
        <f>1722.5-1678.2</f>
        <v>44.299999999999955</v>
      </c>
      <c r="G59" s="50">
        <f t="shared" si="1"/>
        <v>1.6989700043360187</v>
      </c>
      <c r="H59" s="13">
        <f>LOG10(D59*100*E59/F59*1000)</f>
        <v>3.0525662781129497</v>
      </c>
      <c r="I59" s="14"/>
    </row>
    <row r="60" spans="1:9" x14ac:dyDescent="0.2">
      <c r="A60" s="8" t="s">
        <v>14</v>
      </c>
      <c r="B60" s="9">
        <v>0</v>
      </c>
      <c r="C60" s="9">
        <v>0</v>
      </c>
      <c r="D60" s="9">
        <f t="shared" ref="D60:D62" si="17">AVERAGE(B60:C60)</f>
        <v>0</v>
      </c>
      <c r="E60" s="26">
        <v>1</v>
      </c>
      <c r="F60" s="8">
        <f>1659.4-1628.7</f>
        <v>30.700000000000045</v>
      </c>
      <c r="G60" s="50" t="e">
        <f t="shared" si="1"/>
        <v>#NUM!</v>
      </c>
      <c r="H60" s="13" t="e">
        <f>LOG10(D60*100*E60/F60*1000)</f>
        <v>#NUM!</v>
      </c>
      <c r="I60" s="14"/>
    </row>
    <row r="61" spans="1:9" x14ac:dyDescent="0.2">
      <c r="A61" s="8" t="s">
        <v>15</v>
      </c>
      <c r="B61" s="9">
        <v>1</v>
      </c>
      <c r="C61" s="9">
        <v>0</v>
      </c>
      <c r="D61" s="9">
        <f t="shared" si="17"/>
        <v>0.5</v>
      </c>
      <c r="E61" s="26">
        <v>1</v>
      </c>
      <c r="F61" s="8">
        <f>1898.6-1674</f>
        <v>224.59999999999991</v>
      </c>
      <c r="G61" s="50">
        <f t="shared" si="1"/>
        <v>1.6989700043360187</v>
      </c>
      <c r="H61" s="13">
        <f t="shared" ref="H61" si="18">LOG10(D61*100*E61/F61*1000)</f>
        <v>2.3475602524105801</v>
      </c>
      <c r="I61" s="12"/>
    </row>
    <row r="62" spans="1:9" ht="17" x14ac:dyDescent="0.2">
      <c r="A62" s="17" t="s">
        <v>16</v>
      </c>
      <c r="B62" s="9">
        <v>0</v>
      </c>
      <c r="C62" s="9">
        <v>0</v>
      </c>
      <c r="D62" s="9">
        <f t="shared" si="17"/>
        <v>0</v>
      </c>
      <c r="E62" s="26">
        <v>1</v>
      </c>
      <c r="F62" s="8">
        <f>1739.4-1685.4</f>
        <v>54</v>
      </c>
      <c r="G62" s="50" t="e">
        <f t="shared" si="1"/>
        <v>#NUM!</v>
      </c>
      <c r="H62" s="13" t="e">
        <f t="shared" ref="H62" si="19">LOG10(D62*100*E62/F62*1000)</f>
        <v>#NUM!</v>
      </c>
      <c r="I62" s="14"/>
    </row>
    <row r="63" spans="1:9" s="48" customFormat="1" x14ac:dyDescent="0.2">
      <c r="A63" s="44"/>
      <c r="B63" s="45"/>
      <c r="C63" s="45"/>
      <c r="D63" s="45"/>
      <c r="E63" s="77"/>
      <c r="F63" s="44"/>
      <c r="G63" s="58"/>
      <c r="H63" s="46"/>
      <c r="I63" s="47"/>
    </row>
    <row r="64" spans="1:9" ht="51" x14ac:dyDescent="0.2">
      <c r="A64" s="2" t="s">
        <v>39</v>
      </c>
      <c r="B64" s="86" t="s">
        <v>0</v>
      </c>
      <c r="C64" s="86"/>
      <c r="D64" s="32" t="s">
        <v>1</v>
      </c>
      <c r="E64" s="33" t="s">
        <v>3</v>
      </c>
      <c r="F64" s="74" t="s">
        <v>2</v>
      </c>
      <c r="G64" s="49" t="s">
        <v>11</v>
      </c>
      <c r="H64" s="59" t="s">
        <v>10</v>
      </c>
      <c r="I64" s="14"/>
    </row>
    <row r="65" spans="1:9" x14ac:dyDescent="0.2">
      <c r="A65" s="8" t="s">
        <v>12</v>
      </c>
      <c r="B65">
        <v>53</v>
      </c>
      <c r="C65">
        <v>58</v>
      </c>
      <c r="D65">
        <f>AVERAGE(B65:C65)</f>
        <v>55.5</v>
      </c>
      <c r="E65" s="1">
        <v>1000</v>
      </c>
      <c r="F65" s="4">
        <f>1751.8-1720.9</f>
        <v>30.899999999999864</v>
      </c>
      <c r="G65" s="50">
        <f t="shared" ref="G65:G104" si="20">LOG10(D65*E65*100)</f>
        <v>6.7442929831226763</v>
      </c>
      <c r="H65" s="13">
        <f>LOG10(D65*100*E65/F65*1000)</f>
        <v>8.2543345036978444</v>
      </c>
      <c r="I65" s="14"/>
    </row>
    <row r="66" spans="1:9" x14ac:dyDescent="0.2">
      <c r="A66" s="8" t="s">
        <v>13</v>
      </c>
      <c r="B66">
        <v>27</v>
      </c>
      <c r="C66">
        <v>26</v>
      </c>
      <c r="D66">
        <f>AVERAGE(B66:C66)</f>
        <v>26.5</v>
      </c>
      <c r="E66" s="1">
        <v>1000</v>
      </c>
      <c r="F66" s="4">
        <f>1654.5-1628</f>
        <v>26.5</v>
      </c>
      <c r="G66" s="50">
        <f t="shared" si="20"/>
        <v>6.4232458739368079</v>
      </c>
      <c r="H66" s="13">
        <f>LOG10(D66*100*E66/F66*1000)</f>
        <v>8</v>
      </c>
      <c r="I66" s="14"/>
    </row>
    <row r="67" spans="1:9" x14ac:dyDescent="0.2">
      <c r="A67" s="8" t="s">
        <v>14</v>
      </c>
      <c r="B67" s="9">
        <v>31</v>
      </c>
      <c r="C67" s="9">
        <v>23</v>
      </c>
      <c r="D67" s="9">
        <f t="shared" ref="D67:D69" si="21">AVERAGE(B67:C67)</f>
        <v>27</v>
      </c>
      <c r="E67" s="26">
        <v>1000</v>
      </c>
      <c r="F67" s="8">
        <f>1683.2-1647.1</f>
        <v>36.100000000000136</v>
      </c>
      <c r="G67" s="50">
        <f t="shared" si="20"/>
        <v>6.4313637641589869</v>
      </c>
      <c r="H67" s="13">
        <f>LOG10(D67*100*E67/F67*1000)</f>
        <v>7.8738565622533274</v>
      </c>
      <c r="I67" s="14"/>
    </row>
    <row r="68" spans="1:9" x14ac:dyDescent="0.2">
      <c r="A68" s="8" t="s">
        <v>15</v>
      </c>
      <c r="B68" s="9">
        <v>29</v>
      </c>
      <c r="C68" s="9">
        <v>29</v>
      </c>
      <c r="D68" s="9">
        <f t="shared" si="21"/>
        <v>29</v>
      </c>
      <c r="E68" s="26">
        <v>100</v>
      </c>
      <c r="F68" s="8">
        <f>1885.4-1723.6</f>
        <v>161.80000000000018</v>
      </c>
      <c r="G68" s="50">
        <f t="shared" si="20"/>
        <v>5.4623979978989565</v>
      </c>
      <c r="H68" s="13">
        <f t="shared" ref="H68:H69" si="22">LOG10(D68*100*E68/F68*1000)</f>
        <v>6.2534194806227017</v>
      </c>
      <c r="I68" s="14"/>
    </row>
    <row r="69" spans="1:9" ht="17" x14ac:dyDescent="0.2">
      <c r="A69" s="17" t="s">
        <v>16</v>
      </c>
      <c r="B69" s="9">
        <v>30</v>
      </c>
      <c r="C69" s="9">
        <v>25</v>
      </c>
      <c r="D69" s="9">
        <f t="shared" si="21"/>
        <v>27.5</v>
      </c>
      <c r="E69" s="26">
        <v>100</v>
      </c>
      <c r="F69" s="8">
        <f>1884-1715.2</f>
        <v>168.79999999999995</v>
      </c>
      <c r="G69" s="50">
        <f t="shared" si="20"/>
        <v>5.4393326938302629</v>
      </c>
      <c r="H69" s="13">
        <f t="shared" si="22"/>
        <v>6.2119602515406269</v>
      </c>
      <c r="I69" s="14"/>
    </row>
    <row r="70" spans="1:9" s="28" customFormat="1" x14ac:dyDescent="0.2">
      <c r="A70" s="63"/>
      <c r="B70" s="64"/>
      <c r="C70" s="64"/>
      <c r="D70" s="64"/>
      <c r="E70" s="78"/>
      <c r="F70" s="63"/>
      <c r="G70" s="65"/>
      <c r="H70" s="66"/>
      <c r="I70" s="67"/>
    </row>
    <row r="71" spans="1:9" ht="51" x14ac:dyDescent="0.2">
      <c r="A71" s="2" t="s">
        <v>40</v>
      </c>
      <c r="B71" s="86" t="s">
        <v>0</v>
      </c>
      <c r="C71" s="86"/>
      <c r="D71" s="32" t="s">
        <v>1</v>
      </c>
      <c r="E71" s="33" t="s">
        <v>3</v>
      </c>
      <c r="F71" s="74" t="s">
        <v>2</v>
      </c>
      <c r="G71" s="49" t="s">
        <v>11</v>
      </c>
      <c r="H71" s="59" t="s">
        <v>10</v>
      </c>
      <c r="I71" s="14"/>
    </row>
    <row r="72" spans="1:9" x14ac:dyDescent="0.2">
      <c r="A72" s="8" t="s">
        <v>12</v>
      </c>
      <c r="B72">
        <v>54</v>
      </c>
      <c r="C72">
        <v>61</v>
      </c>
      <c r="D72">
        <f>AVERAGE(B72:C72)</f>
        <v>57.5</v>
      </c>
      <c r="E72" s="1">
        <v>100</v>
      </c>
      <c r="F72" s="4">
        <f>1759.8-1744.2</f>
        <v>15.599999999999909</v>
      </c>
      <c r="G72" s="50">
        <f t="shared" si="20"/>
        <v>5.7596678446896306</v>
      </c>
      <c r="H72" s="13">
        <f>LOG10(D72*100*E72/F72*1000)</f>
        <v>7.5665432463351712</v>
      </c>
      <c r="I72" s="14"/>
    </row>
    <row r="73" spans="1:9" x14ac:dyDescent="0.2">
      <c r="A73" s="8" t="s">
        <v>13</v>
      </c>
      <c r="B73">
        <v>35</v>
      </c>
      <c r="C73">
        <v>35</v>
      </c>
      <c r="D73">
        <f>AVERAGE(B73:C73)</f>
        <v>35</v>
      </c>
      <c r="E73" s="1">
        <v>1000</v>
      </c>
      <c r="F73" s="4">
        <f>1777.3-1752.4</f>
        <v>24.899999999999864</v>
      </c>
      <c r="G73" s="50">
        <f t="shared" si="20"/>
        <v>6.5440680443502757</v>
      </c>
      <c r="H73" s="13">
        <f>LOG10(D73*100*E73/F73*1000)</f>
        <v>8.1478686972545411</v>
      </c>
      <c r="I73" s="14"/>
    </row>
    <row r="74" spans="1:9" x14ac:dyDescent="0.2">
      <c r="A74" s="8" t="s">
        <v>14</v>
      </c>
      <c r="B74">
        <v>9</v>
      </c>
      <c r="C74">
        <v>6</v>
      </c>
      <c r="D74">
        <f>AVERAGE(B74:C74)</f>
        <v>7.5</v>
      </c>
      <c r="E74" s="1">
        <v>10000</v>
      </c>
      <c r="F74" s="4">
        <f>1729.8-1657.7</f>
        <v>72.099999999999909</v>
      </c>
      <c r="G74" s="50">
        <f t="shared" si="20"/>
        <v>6.8750612633917001</v>
      </c>
      <c r="H74" s="13">
        <f>LOG10(D74*100*E74/F74*1000)</f>
        <v>8.017125998672272</v>
      </c>
      <c r="I74" s="14"/>
    </row>
    <row r="75" spans="1:9" x14ac:dyDescent="0.2">
      <c r="A75" s="8" t="s">
        <v>15</v>
      </c>
      <c r="B75" s="9">
        <v>16</v>
      </c>
      <c r="C75" s="9">
        <v>10</v>
      </c>
      <c r="D75" s="9">
        <f t="shared" ref="D75:D76" si="23">AVERAGE(B75:C75)</f>
        <v>13</v>
      </c>
      <c r="E75" s="26">
        <v>1000</v>
      </c>
      <c r="F75" s="8">
        <f>1873.3-1770.2</f>
        <v>103.09999999999991</v>
      </c>
      <c r="G75" s="50">
        <f t="shared" si="20"/>
        <v>6.1139433523068369</v>
      </c>
      <c r="H75" s="13">
        <f>LOG10(D75*100*E75/F75*1000)</f>
        <v>7.1006846870233202</v>
      </c>
      <c r="I75" s="14"/>
    </row>
    <row r="76" spans="1:9" ht="17" x14ac:dyDescent="0.2">
      <c r="A76" s="17" t="s">
        <v>16</v>
      </c>
      <c r="B76" s="9">
        <v>36</v>
      </c>
      <c r="C76" s="9">
        <v>29</v>
      </c>
      <c r="D76" s="9">
        <f t="shared" si="23"/>
        <v>32.5</v>
      </c>
      <c r="E76" s="26">
        <v>100</v>
      </c>
      <c r="F76" s="8">
        <f>1721.3-1620.5</f>
        <v>100.79999999999995</v>
      </c>
      <c r="G76" s="50">
        <f t="shared" si="20"/>
        <v>5.5118833609788744</v>
      </c>
      <c r="H76" s="13">
        <f t="shared" ref="H76" si="24">LOG10(D76*100*E76/F76*1000)</f>
        <v>6.5084228288693682</v>
      </c>
      <c r="I76" s="14"/>
    </row>
    <row r="77" spans="1:9" x14ac:dyDescent="0.2">
      <c r="A77" s="8"/>
      <c r="B77" s="9"/>
      <c r="C77" s="9"/>
      <c r="D77" s="9"/>
      <c r="E77" s="26"/>
      <c r="F77" s="8"/>
      <c r="G77" s="50"/>
      <c r="H77" s="13"/>
      <c r="I77" s="14"/>
    </row>
    <row r="78" spans="1:9" ht="51" x14ac:dyDescent="0.2">
      <c r="A78" s="2" t="s">
        <v>41</v>
      </c>
      <c r="B78" s="86" t="s">
        <v>0</v>
      </c>
      <c r="C78" s="86"/>
      <c r="D78" s="32" t="s">
        <v>1</v>
      </c>
      <c r="E78" s="33" t="s">
        <v>3</v>
      </c>
      <c r="F78" s="74" t="s">
        <v>2</v>
      </c>
      <c r="G78" s="49" t="s">
        <v>11</v>
      </c>
      <c r="H78" s="59" t="s">
        <v>10</v>
      </c>
      <c r="I78" s="14"/>
    </row>
    <row r="79" spans="1:9" x14ac:dyDescent="0.2">
      <c r="A79" s="8" t="s">
        <v>12</v>
      </c>
      <c r="B79">
        <v>0</v>
      </c>
      <c r="C79">
        <v>0</v>
      </c>
      <c r="D79">
        <f>AVERAGE(B79:C79)</f>
        <v>0</v>
      </c>
      <c r="E79" s="1">
        <v>1</v>
      </c>
      <c r="F79" s="4">
        <f>1839.5-1820.3</f>
        <v>19.200000000000045</v>
      </c>
      <c r="G79" s="50" t="e">
        <f>LOG10(D79*E79*100)</f>
        <v>#NUM!</v>
      </c>
      <c r="H79" s="13" t="e">
        <f>LOG10(D79*100*E79/F79*1000)</f>
        <v>#NUM!</v>
      </c>
      <c r="I79" s="14"/>
    </row>
    <row r="80" spans="1:9" x14ac:dyDescent="0.2">
      <c r="A80" s="8" t="s">
        <v>13</v>
      </c>
      <c r="B80">
        <v>1</v>
      </c>
      <c r="C80">
        <v>0</v>
      </c>
      <c r="D80">
        <f>AVERAGE(B80:C80)</f>
        <v>0.5</v>
      </c>
      <c r="E80" s="1">
        <v>1</v>
      </c>
      <c r="F80" s="4">
        <f>1716.8-1698.7</f>
        <v>18.099999999999909</v>
      </c>
      <c r="G80" s="50">
        <f t="shared" si="20"/>
        <v>1.6989700043360187</v>
      </c>
      <c r="H80" s="13">
        <f>LOG10(D80*100*E80/F80*1000)</f>
        <v>3.4412914294668364</v>
      </c>
      <c r="I80" s="14"/>
    </row>
    <row r="81" spans="1:9" x14ac:dyDescent="0.2">
      <c r="A81" s="8" t="s">
        <v>14</v>
      </c>
      <c r="B81">
        <v>22</v>
      </c>
      <c r="C81">
        <v>25</v>
      </c>
      <c r="D81">
        <f>AVERAGE(B81:C81)</f>
        <v>23.5</v>
      </c>
      <c r="E81" s="1">
        <v>1</v>
      </c>
      <c r="F81" s="4">
        <f>1720-1693.6</f>
        <v>26.400000000000091</v>
      </c>
      <c r="G81" s="50">
        <f t="shared" si="20"/>
        <v>3.3710678622717363</v>
      </c>
      <c r="H81" s="13">
        <f>LOG10(D81*100*E81/F81*1000)</f>
        <v>4.9494639354019041</v>
      </c>
      <c r="I81" s="14"/>
    </row>
    <row r="82" spans="1:9" x14ac:dyDescent="0.2">
      <c r="A82" s="8" t="s">
        <v>15</v>
      </c>
      <c r="B82" s="9">
        <v>44</v>
      </c>
      <c r="C82" s="9">
        <v>44</v>
      </c>
      <c r="D82" s="9">
        <f t="shared" ref="D82:D83" si="25">AVERAGE(B82:C82)</f>
        <v>44</v>
      </c>
      <c r="E82" s="26">
        <v>10</v>
      </c>
      <c r="F82" s="8">
        <f>1715.3-1700</f>
        <v>15.299999999999955</v>
      </c>
      <c r="G82" s="50">
        <f t="shared" si="20"/>
        <v>4.6434526764861879</v>
      </c>
      <c r="H82" s="13">
        <f>LOG10(D82*100*E82/F82*1000)</f>
        <v>6.4587612456685903</v>
      </c>
      <c r="I82" s="14"/>
    </row>
    <row r="83" spans="1:9" ht="17" x14ac:dyDescent="0.2">
      <c r="A83" s="17" t="s">
        <v>16</v>
      </c>
      <c r="B83" s="9">
        <v>34</v>
      </c>
      <c r="C83" s="9">
        <v>41</v>
      </c>
      <c r="D83" s="9">
        <f t="shared" si="25"/>
        <v>37.5</v>
      </c>
      <c r="E83" s="26">
        <v>10</v>
      </c>
      <c r="F83" s="8">
        <f>1733.2-1689.9</f>
        <v>43.299999999999955</v>
      </c>
      <c r="G83" s="50">
        <f t="shared" si="20"/>
        <v>4.5740312677277188</v>
      </c>
      <c r="H83" s="13">
        <f t="shared" ref="H83" si="26">LOG10(D83*100*E83/F83*1000)</f>
        <v>5.9375433713743542</v>
      </c>
      <c r="I83" s="14"/>
    </row>
    <row r="84" spans="1:9" s="48" customFormat="1" x14ac:dyDescent="0.2">
      <c r="A84" s="44"/>
      <c r="E84" s="79"/>
      <c r="F84" s="72"/>
      <c r="G84" s="58"/>
      <c r="H84" s="46"/>
      <c r="I84" s="47"/>
    </row>
    <row r="85" spans="1:9" ht="51" x14ac:dyDescent="0.2">
      <c r="A85" s="2" t="s">
        <v>42</v>
      </c>
      <c r="B85" s="86" t="s">
        <v>0</v>
      </c>
      <c r="C85" s="86"/>
      <c r="D85" s="32" t="s">
        <v>1</v>
      </c>
      <c r="E85" s="33" t="s">
        <v>3</v>
      </c>
      <c r="F85" s="74" t="s">
        <v>2</v>
      </c>
      <c r="G85" s="49" t="s">
        <v>11</v>
      </c>
      <c r="H85" s="59" t="s">
        <v>10</v>
      </c>
      <c r="I85" s="14"/>
    </row>
    <row r="86" spans="1:9" x14ac:dyDescent="0.2">
      <c r="A86" s="8" t="s">
        <v>12</v>
      </c>
      <c r="B86">
        <v>0</v>
      </c>
      <c r="C86">
        <v>0</v>
      </c>
      <c r="D86">
        <f>AVERAGE(B86:C86)</f>
        <v>0</v>
      </c>
      <c r="E86" s="1">
        <v>1</v>
      </c>
      <c r="F86" s="4">
        <f>1703.2-1674.9</f>
        <v>28.299999999999955</v>
      </c>
      <c r="G86" s="50" t="e">
        <f t="shared" si="20"/>
        <v>#NUM!</v>
      </c>
      <c r="H86" s="13" t="e">
        <f>LOG10(D86*100*E86/F86*1000)</f>
        <v>#NUM!</v>
      </c>
      <c r="I86" s="14"/>
    </row>
    <row r="87" spans="1:9" x14ac:dyDescent="0.2">
      <c r="A87" s="8" t="s">
        <v>13</v>
      </c>
      <c r="B87">
        <v>0</v>
      </c>
      <c r="C87">
        <v>0</v>
      </c>
      <c r="D87">
        <f>AVERAGE(B87:C87)</f>
        <v>0</v>
      </c>
      <c r="E87" s="1">
        <v>1</v>
      </c>
      <c r="F87" s="4">
        <f>1693.3-1667</f>
        <v>26.299999999999955</v>
      </c>
      <c r="G87" s="50" t="e">
        <f t="shared" si="20"/>
        <v>#NUM!</v>
      </c>
      <c r="H87" s="13" t="e">
        <f>LOG10(D87*100*E87/F87*1000)</f>
        <v>#NUM!</v>
      </c>
      <c r="I87" s="14"/>
    </row>
    <row r="88" spans="1:9" x14ac:dyDescent="0.2">
      <c r="A88" s="8" t="s">
        <v>14</v>
      </c>
      <c r="B88">
        <v>0</v>
      </c>
      <c r="C88">
        <v>0</v>
      </c>
      <c r="D88">
        <f>AVERAGE(B88:C88)</f>
        <v>0</v>
      </c>
      <c r="E88" s="1">
        <v>1</v>
      </c>
      <c r="F88" s="4">
        <f>1690.8-1668.1</f>
        <v>22.700000000000045</v>
      </c>
      <c r="G88" s="50" t="e">
        <f t="shared" si="20"/>
        <v>#NUM!</v>
      </c>
      <c r="H88" s="13" t="e">
        <f>LOG10(D88*100*E88/F88*1000)</f>
        <v>#NUM!</v>
      </c>
      <c r="I88" s="12"/>
    </row>
    <row r="89" spans="1:9" x14ac:dyDescent="0.2">
      <c r="A89" s="8" t="s">
        <v>15</v>
      </c>
      <c r="B89" s="9">
        <v>0</v>
      </c>
      <c r="C89" s="9">
        <v>0</v>
      </c>
      <c r="D89" s="9">
        <f t="shared" ref="D89:D90" si="27">AVERAGE(B89:C89)</f>
        <v>0</v>
      </c>
      <c r="E89" s="26">
        <v>1</v>
      </c>
      <c r="F89" s="8">
        <f>1767.1-1727.8</f>
        <v>39.299999999999955</v>
      </c>
      <c r="G89" s="50" t="e">
        <f t="shared" si="20"/>
        <v>#NUM!</v>
      </c>
      <c r="H89" s="13" t="e">
        <f>LOG10(D89*100*E89/F89*1000)</f>
        <v>#NUM!</v>
      </c>
      <c r="I89" s="14"/>
    </row>
    <row r="90" spans="1:9" ht="17" x14ac:dyDescent="0.2">
      <c r="A90" s="17" t="s">
        <v>16</v>
      </c>
      <c r="B90" s="9">
        <v>0</v>
      </c>
      <c r="C90" s="9">
        <v>0</v>
      </c>
      <c r="D90" s="9">
        <f t="shared" si="27"/>
        <v>0</v>
      </c>
      <c r="E90" s="26">
        <v>1</v>
      </c>
      <c r="F90" s="8">
        <f>1852-1762.8</f>
        <v>89.200000000000045</v>
      </c>
      <c r="G90" s="50" t="e">
        <f t="shared" si="20"/>
        <v>#NUM!</v>
      </c>
      <c r="H90" s="13" t="e">
        <f t="shared" ref="H90" si="28">LOG10(D90*100*E90/F90*1000)</f>
        <v>#NUM!</v>
      </c>
      <c r="I90" s="14"/>
    </row>
    <row r="91" spans="1:9" x14ac:dyDescent="0.2">
      <c r="A91" s="8"/>
      <c r="B91" s="9"/>
      <c r="C91" s="9"/>
      <c r="D91" s="9"/>
      <c r="E91" s="26"/>
      <c r="F91" s="8"/>
      <c r="G91" s="50"/>
      <c r="H91" s="13"/>
      <c r="I91" s="14"/>
    </row>
    <row r="92" spans="1:9" ht="51" x14ac:dyDescent="0.2">
      <c r="A92" s="2" t="s">
        <v>46</v>
      </c>
      <c r="B92" s="86" t="s">
        <v>0</v>
      </c>
      <c r="C92" s="86"/>
      <c r="D92" s="32" t="s">
        <v>1</v>
      </c>
      <c r="E92" s="33" t="s">
        <v>3</v>
      </c>
      <c r="F92" s="74" t="s">
        <v>2</v>
      </c>
      <c r="G92" s="49" t="s">
        <v>11</v>
      </c>
      <c r="H92" s="59" t="s">
        <v>10</v>
      </c>
      <c r="I92" s="14"/>
    </row>
    <row r="93" spans="1:9" x14ac:dyDescent="0.2">
      <c r="A93" s="8" t="s">
        <v>12</v>
      </c>
      <c r="B93">
        <v>0</v>
      </c>
      <c r="C93">
        <v>0</v>
      </c>
      <c r="D93">
        <f>AVERAGE(B93:C93)</f>
        <v>0</v>
      </c>
      <c r="E93" s="1">
        <v>1</v>
      </c>
      <c r="F93" s="4">
        <f>1731-1678.6</f>
        <v>52.400000000000091</v>
      </c>
      <c r="G93" s="50" t="e">
        <f t="shared" si="20"/>
        <v>#NUM!</v>
      </c>
      <c r="H93" s="13" t="e">
        <f>LOG10(D93*100*E93/F93*1000)</f>
        <v>#NUM!</v>
      </c>
      <c r="I93" s="14"/>
    </row>
    <row r="94" spans="1:9" x14ac:dyDescent="0.2">
      <c r="A94" s="8" t="s">
        <v>13</v>
      </c>
      <c r="B94">
        <v>0</v>
      </c>
      <c r="C94">
        <v>0</v>
      </c>
      <c r="D94">
        <f>AVERAGE(B94:C94)</f>
        <v>0</v>
      </c>
      <c r="E94" s="1">
        <v>1</v>
      </c>
      <c r="F94" s="4">
        <f>1676.5-1658.3</f>
        <v>18.200000000000045</v>
      </c>
      <c r="G94" s="50" t="e">
        <f t="shared" si="20"/>
        <v>#NUM!</v>
      </c>
      <c r="H94" s="13" t="e">
        <f>LOG10(D94*100*E94/F94*1000)</f>
        <v>#NUM!</v>
      </c>
      <c r="I94" s="14"/>
    </row>
    <row r="95" spans="1:9" x14ac:dyDescent="0.2">
      <c r="A95" s="8" t="s">
        <v>14</v>
      </c>
      <c r="B95">
        <v>0</v>
      </c>
      <c r="C95">
        <v>0</v>
      </c>
      <c r="D95">
        <f>AVERAGE(B95:C95)</f>
        <v>0</v>
      </c>
      <c r="E95" s="1">
        <v>1</v>
      </c>
      <c r="F95" s="4">
        <f>1703.6-1681.5</f>
        <v>22.099999999999909</v>
      </c>
      <c r="G95" s="50" t="e">
        <f t="shared" si="20"/>
        <v>#NUM!</v>
      </c>
      <c r="H95" s="13" t="e">
        <f>LOG10(D95*100*E95/F95*1000)</f>
        <v>#NUM!</v>
      </c>
      <c r="I95" s="14"/>
    </row>
    <row r="96" spans="1:9" x14ac:dyDescent="0.2">
      <c r="A96" s="8" t="s">
        <v>15</v>
      </c>
      <c r="B96" s="9">
        <v>0</v>
      </c>
      <c r="C96" s="9">
        <v>0</v>
      </c>
      <c r="D96" s="9">
        <f t="shared" ref="D96:D97" si="29">AVERAGE(B96:C96)</f>
        <v>0</v>
      </c>
      <c r="E96" s="26">
        <v>1</v>
      </c>
      <c r="F96" s="8">
        <f>1793.5-1633.3</f>
        <v>160.20000000000005</v>
      </c>
      <c r="G96" s="50" t="e">
        <f t="shared" si="20"/>
        <v>#NUM!</v>
      </c>
      <c r="H96" s="13" t="e">
        <f>LOG10(D96*100*E96/F96*1000)</f>
        <v>#NUM!</v>
      </c>
      <c r="I96" s="14"/>
    </row>
    <row r="97" spans="1:9" ht="17" x14ac:dyDescent="0.2">
      <c r="A97" s="17" t="s">
        <v>16</v>
      </c>
      <c r="B97" s="9">
        <v>0</v>
      </c>
      <c r="C97" s="9">
        <v>0</v>
      </c>
      <c r="D97" s="9">
        <f t="shared" si="29"/>
        <v>0</v>
      </c>
      <c r="E97" s="26">
        <v>1</v>
      </c>
      <c r="F97" s="8">
        <f>1738.1-1702.8</f>
        <v>35.299999999999955</v>
      </c>
      <c r="G97" s="50" t="e">
        <f t="shared" si="20"/>
        <v>#NUM!</v>
      </c>
      <c r="H97" s="13" t="e">
        <f t="shared" ref="H97" si="30">LOG10(D97*100*E97/F97*1000)</f>
        <v>#NUM!</v>
      </c>
      <c r="I97" s="14"/>
    </row>
    <row r="98" spans="1:9" x14ac:dyDescent="0.2">
      <c r="A98" s="17"/>
      <c r="B98" s="10"/>
      <c r="C98" s="10"/>
      <c r="D98" s="9"/>
      <c r="E98" s="17"/>
      <c r="F98" s="75"/>
      <c r="G98" s="50"/>
      <c r="H98" s="13"/>
      <c r="I98" s="14"/>
    </row>
    <row r="99" spans="1:9" ht="51" x14ac:dyDescent="0.2">
      <c r="A99" s="2" t="s">
        <v>47</v>
      </c>
      <c r="B99" s="86" t="s">
        <v>0</v>
      </c>
      <c r="C99" s="86"/>
      <c r="D99" s="32" t="s">
        <v>1</v>
      </c>
      <c r="E99" s="33" t="s">
        <v>3</v>
      </c>
      <c r="F99" s="74" t="s">
        <v>2</v>
      </c>
      <c r="G99" s="49" t="s">
        <v>11</v>
      </c>
      <c r="H99" s="59" t="s">
        <v>10</v>
      </c>
      <c r="I99" s="14"/>
    </row>
    <row r="100" spans="1:9" x14ac:dyDescent="0.2">
      <c r="A100" s="8" t="s">
        <v>12</v>
      </c>
      <c r="B100">
        <v>0</v>
      </c>
      <c r="C100">
        <v>0</v>
      </c>
      <c r="D100">
        <f>AVERAGE(B100:C100)</f>
        <v>0</v>
      </c>
      <c r="E100" s="1">
        <v>1</v>
      </c>
      <c r="F100" s="4">
        <f>1724.1-1713.4</f>
        <v>10.699999999999818</v>
      </c>
      <c r="G100" s="50" t="e">
        <f t="shared" si="20"/>
        <v>#NUM!</v>
      </c>
      <c r="H100" s="13" t="e">
        <f>LOG10(D100*100*E100/F100*1000)</f>
        <v>#NUM!</v>
      </c>
      <c r="I100" s="14"/>
    </row>
    <row r="101" spans="1:9" x14ac:dyDescent="0.2">
      <c r="A101" s="8" t="s">
        <v>13</v>
      </c>
      <c r="B101">
        <v>0</v>
      </c>
      <c r="C101">
        <v>0</v>
      </c>
      <c r="D101">
        <f>AVERAGE(B101:C101)</f>
        <v>0</v>
      </c>
      <c r="E101" s="1">
        <v>1</v>
      </c>
      <c r="F101" s="4">
        <f>1704.1-1688.4</f>
        <v>15.699999999999818</v>
      </c>
      <c r="G101" s="50" t="e">
        <f t="shared" si="20"/>
        <v>#NUM!</v>
      </c>
      <c r="H101" s="13" t="e">
        <f>LOG10(D101*100*E101/F101*1000)</f>
        <v>#NUM!</v>
      </c>
      <c r="I101" s="14"/>
    </row>
    <row r="102" spans="1:9" x14ac:dyDescent="0.2">
      <c r="A102" s="8" t="s">
        <v>14</v>
      </c>
      <c r="B102">
        <v>0</v>
      </c>
      <c r="C102">
        <v>0</v>
      </c>
      <c r="D102">
        <f>AVERAGE(B102:C102)</f>
        <v>0</v>
      </c>
      <c r="E102" s="1">
        <v>1</v>
      </c>
      <c r="F102" s="4">
        <f>1677-1657.2</f>
        <v>19.799999999999955</v>
      </c>
      <c r="G102" s="50" t="e">
        <f t="shared" si="20"/>
        <v>#NUM!</v>
      </c>
      <c r="H102" s="13" t="e">
        <f>LOG10(D102*100*E102/F102*1000)</f>
        <v>#NUM!</v>
      </c>
      <c r="I102" s="14"/>
    </row>
    <row r="103" spans="1:9" x14ac:dyDescent="0.2">
      <c r="A103" s="8" t="s">
        <v>15</v>
      </c>
      <c r="B103" s="9">
        <v>0</v>
      </c>
      <c r="C103" s="9">
        <v>0</v>
      </c>
      <c r="D103" s="9">
        <f t="shared" ref="D103:D104" si="31">AVERAGE(B103:C103)</f>
        <v>0</v>
      </c>
      <c r="E103" s="26">
        <v>1</v>
      </c>
      <c r="F103" s="8">
        <f>1801.3-1766.8</f>
        <v>34.5</v>
      </c>
      <c r="G103" s="50" t="e">
        <f t="shared" si="20"/>
        <v>#NUM!</v>
      </c>
      <c r="H103" s="13" t="e">
        <f>LOG10(D103*100*E103/F103*1000)</f>
        <v>#NUM!</v>
      </c>
      <c r="I103" s="14"/>
    </row>
    <row r="104" spans="1:9" ht="17" x14ac:dyDescent="0.2">
      <c r="A104" s="17" t="s">
        <v>16</v>
      </c>
      <c r="B104" s="9">
        <v>0</v>
      </c>
      <c r="C104" s="9">
        <v>0</v>
      </c>
      <c r="D104" s="9">
        <f t="shared" si="31"/>
        <v>0</v>
      </c>
      <c r="E104" s="26">
        <v>1</v>
      </c>
      <c r="F104" s="8">
        <f>1718.5-1681.9</f>
        <v>36.599999999999909</v>
      </c>
      <c r="G104" s="50" t="e">
        <f t="shared" si="20"/>
        <v>#NUM!</v>
      </c>
      <c r="H104" s="13" t="e">
        <f t="shared" ref="H104" si="32">LOG10(D104*100*E104/F104*1000)</f>
        <v>#NUM!</v>
      </c>
      <c r="I104" s="14"/>
    </row>
    <row r="105" spans="1:9" s="48" customFormat="1" x14ac:dyDescent="0.2">
      <c r="A105" s="68"/>
      <c r="B105" s="69"/>
      <c r="C105" s="69"/>
      <c r="D105" s="70"/>
      <c r="E105" s="70"/>
      <c r="F105" s="76"/>
      <c r="G105" s="73"/>
      <c r="H105" s="71"/>
      <c r="I105" s="47"/>
    </row>
    <row r="106" spans="1:9" ht="51" x14ac:dyDescent="0.2">
      <c r="A106" s="2" t="s">
        <v>43</v>
      </c>
      <c r="B106" s="86" t="s">
        <v>0</v>
      </c>
      <c r="C106" s="86"/>
      <c r="D106" s="33" t="s">
        <v>1</v>
      </c>
      <c r="E106" s="33" t="s">
        <v>3</v>
      </c>
      <c r="F106" s="74" t="s">
        <v>2</v>
      </c>
      <c r="G106" s="49" t="s">
        <v>11</v>
      </c>
      <c r="H106" s="59" t="s">
        <v>10</v>
      </c>
      <c r="I106" s="14"/>
    </row>
    <row r="107" spans="1:9" x14ac:dyDescent="0.2">
      <c r="A107" s="8" t="s">
        <v>12</v>
      </c>
      <c r="B107">
        <v>0</v>
      </c>
      <c r="C107">
        <v>0</v>
      </c>
      <c r="D107">
        <f>AVERAGE(B107:C107)</f>
        <v>0</v>
      </c>
      <c r="E107" s="1">
        <v>1</v>
      </c>
      <c r="F107" s="4">
        <f>1704.2-1696.7</f>
        <v>7.5</v>
      </c>
      <c r="G107" s="50" t="e">
        <f t="shared" ref="G107:G111" si="33">LOG10(D107*E107*100)</f>
        <v>#NUM!</v>
      </c>
      <c r="H107" s="13" t="e">
        <f>LOG10(D107*100*E107/F107*1000)</f>
        <v>#NUM!</v>
      </c>
      <c r="I107" s="14"/>
    </row>
    <row r="108" spans="1:9" x14ac:dyDescent="0.2">
      <c r="A108" s="8" t="s">
        <v>13</v>
      </c>
      <c r="B108">
        <v>0</v>
      </c>
      <c r="C108">
        <v>0</v>
      </c>
      <c r="D108">
        <f>AVERAGE(B108:C108)</f>
        <v>0</v>
      </c>
      <c r="E108" s="1">
        <v>1</v>
      </c>
      <c r="F108" s="4">
        <f>1668.4-1637.2</f>
        <v>31.200000000000045</v>
      </c>
      <c r="G108" s="50" t="e">
        <f t="shared" si="33"/>
        <v>#NUM!</v>
      </c>
      <c r="H108" s="13" t="e">
        <f>LOG10(D108*100*E108/F108*1000)</f>
        <v>#NUM!</v>
      </c>
      <c r="I108" s="14"/>
    </row>
    <row r="109" spans="1:9" x14ac:dyDescent="0.2">
      <c r="A109" s="8" t="s">
        <v>14</v>
      </c>
      <c r="B109">
        <v>0</v>
      </c>
      <c r="C109">
        <v>0</v>
      </c>
      <c r="D109">
        <f>AVERAGE(B109:C109)</f>
        <v>0</v>
      </c>
      <c r="E109" s="1">
        <v>1</v>
      </c>
      <c r="F109" s="4">
        <f>1711.2-1656.8</f>
        <v>54.400000000000091</v>
      </c>
      <c r="G109" s="50" t="e">
        <f t="shared" si="33"/>
        <v>#NUM!</v>
      </c>
      <c r="H109" s="13" t="e">
        <f>LOG10(D109*100*E109/F109*1000)</f>
        <v>#NUM!</v>
      </c>
      <c r="I109" s="14"/>
    </row>
    <row r="110" spans="1:9" x14ac:dyDescent="0.2">
      <c r="A110" s="8" t="s">
        <v>15</v>
      </c>
      <c r="B110" s="9">
        <v>0</v>
      </c>
      <c r="C110" s="9">
        <v>0</v>
      </c>
      <c r="D110" s="9">
        <f t="shared" ref="D110:D111" si="34">AVERAGE(B110:C110)</f>
        <v>0</v>
      </c>
      <c r="E110" s="26">
        <v>1</v>
      </c>
      <c r="F110" s="8">
        <f>1816-1709.8</f>
        <v>106.20000000000005</v>
      </c>
      <c r="G110" s="50" t="e">
        <f t="shared" si="33"/>
        <v>#NUM!</v>
      </c>
      <c r="H110" s="13" t="e">
        <f>LOG10(D110*100*E110/F110*1000)</f>
        <v>#NUM!</v>
      </c>
      <c r="I110" s="14"/>
    </row>
    <row r="111" spans="1:9" ht="17" x14ac:dyDescent="0.2">
      <c r="A111" s="17" t="s">
        <v>16</v>
      </c>
      <c r="B111" s="9">
        <v>0</v>
      </c>
      <c r="C111" s="9">
        <v>0</v>
      </c>
      <c r="D111" s="9">
        <f t="shared" si="34"/>
        <v>0</v>
      </c>
      <c r="E111" s="26">
        <v>1</v>
      </c>
      <c r="F111" s="8">
        <f>1762-1727.5</f>
        <v>34.5</v>
      </c>
      <c r="G111" s="50" t="e">
        <f t="shared" si="33"/>
        <v>#NUM!</v>
      </c>
      <c r="H111" s="13" t="e">
        <f t="shared" ref="H111" si="35">LOG10(D111*100*E111/F111*1000)</f>
        <v>#NUM!</v>
      </c>
      <c r="I111" s="14"/>
    </row>
    <row r="112" spans="1:9" x14ac:dyDescent="0.2">
      <c r="A112" s="8"/>
      <c r="B112" s="9"/>
      <c r="C112" s="9"/>
      <c r="D112" s="9"/>
      <c r="E112" s="26"/>
      <c r="F112" s="8"/>
      <c r="G112" s="50"/>
      <c r="H112" s="13"/>
      <c r="I112" s="14"/>
    </row>
    <row r="113" spans="1:9" ht="51" x14ac:dyDescent="0.2">
      <c r="A113" s="2" t="s">
        <v>44</v>
      </c>
      <c r="B113" s="86" t="s">
        <v>0</v>
      </c>
      <c r="C113" s="86"/>
      <c r="D113" s="33" t="s">
        <v>1</v>
      </c>
      <c r="E113" s="33" t="s">
        <v>3</v>
      </c>
      <c r="F113" s="74" t="s">
        <v>2</v>
      </c>
      <c r="G113" s="49" t="s">
        <v>11</v>
      </c>
      <c r="H113" s="59" t="s">
        <v>10</v>
      </c>
      <c r="I113" s="14"/>
    </row>
    <row r="114" spans="1:9" x14ac:dyDescent="0.2">
      <c r="A114" s="8" t="s">
        <v>12</v>
      </c>
      <c r="B114">
        <v>0</v>
      </c>
      <c r="C114">
        <v>0</v>
      </c>
      <c r="D114">
        <f>AVERAGE(B114:C114)</f>
        <v>0</v>
      </c>
      <c r="E114" s="1">
        <v>1</v>
      </c>
      <c r="F114" s="4">
        <f>1723.2-1695.4</f>
        <v>27.799999999999955</v>
      </c>
      <c r="G114" s="50" t="e">
        <f t="shared" ref="G114:G118" si="36">LOG10(D114*E114*100)</f>
        <v>#NUM!</v>
      </c>
      <c r="H114" s="13" t="e">
        <f>LOG10(D114*100*E114/F114*1000)</f>
        <v>#NUM!</v>
      </c>
      <c r="I114" s="14"/>
    </row>
    <row r="115" spans="1:9" ht="18" customHeight="1" x14ac:dyDescent="0.2">
      <c r="A115" s="8" t="s">
        <v>13</v>
      </c>
      <c r="B115">
        <v>0</v>
      </c>
      <c r="C115">
        <v>0</v>
      </c>
      <c r="D115">
        <f>AVERAGE(B115:C115)</f>
        <v>0</v>
      </c>
      <c r="E115" s="1">
        <v>1</v>
      </c>
      <c r="F115" s="4">
        <f>1722.7-1646.6</f>
        <v>76.100000000000136</v>
      </c>
      <c r="G115" s="50" t="e">
        <f t="shared" si="36"/>
        <v>#NUM!</v>
      </c>
      <c r="H115" s="13" t="e">
        <f>LOG10(D115*100*E115/F115*1000)</f>
        <v>#NUM!</v>
      </c>
      <c r="I115" s="12"/>
    </row>
    <row r="116" spans="1:9" x14ac:dyDescent="0.2">
      <c r="A116" s="8" t="s">
        <v>14</v>
      </c>
      <c r="B116">
        <v>0</v>
      </c>
      <c r="C116">
        <v>0</v>
      </c>
      <c r="D116">
        <f>AVERAGE(B116:C116)</f>
        <v>0</v>
      </c>
      <c r="E116" s="1">
        <v>1</v>
      </c>
      <c r="F116" s="4">
        <f>1786.3-1720.4</f>
        <v>65.899999999999864</v>
      </c>
      <c r="G116" s="50" t="e">
        <f t="shared" si="36"/>
        <v>#NUM!</v>
      </c>
      <c r="H116" s="13" t="e">
        <f>LOG10(D116*100*E116/F116*1000)</f>
        <v>#NUM!</v>
      </c>
      <c r="I116" s="14"/>
    </row>
    <row r="117" spans="1:9" x14ac:dyDescent="0.2">
      <c r="A117" s="8" t="s">
        <v>15</v>
      </c>
      <c r="B117" s="9">
        <v>0</v>
      </c>
      <c r="C117" s="9">
        <v>0</v>
      </c>
      <c r="D117" s="9">
        <f t="shared" ref="D117:D118" si="37">AVERAGE(B117:C117)</f>
        <v>0</v>
      </c>
      <c r="E117" s="26">
        <v>1</v>
      </c>
      <c r="F117" s="8">
        <f>1802.2-1720.4</f>
        <v>81.799999999999955</v>
      </c>
      <c r="G117" s="50" t="e">
        <f t="shared" si="36"/>
        <v>#NUM!</v>
      </c>
      <c r="H117" s="13" t="e">
        <f>LOG10(D117*100*E117/F117*1000)</f>
        <v>#NUM!</v>
      </c>
      <c r="I117" s="14"/>
    </row>
    <row r="118" spans="1:9" ht="17" x14ac:dyDescent="0.2">
      <c r="A118" s="17" t="s">
        <v>16</v>
      </c>
      <c r="B118" s="9">
        <v>0</v>
      </c>
      <c r="C118" s="9">
        <v>0</v>
      </c>
      <c r="D118" s="9">
        <f t="shared" si="37"/>
        <v>0</v>
      </c>
      <c r="E118" s="26">
        <v>1</v>
      </c>
      <c r="F118" s="8">
        <f>2017.2-1948.8</f>
        <v>68.400000000000091</v>
      </c>
      <c r="G118" s="50" t="e">
        <f t="shared" si="36"/>
        <v>#NUM!</v>
      </c>
      <c r="H118" s="13" t="e">
        <f t="shared" ref="H118" si="38">LOG10(D118*100*E118/F118*1000)</f>
        <v>#NUM!</v>
      </c>
      <c r="I118" s="14"/>
    </row>
    <row r="119" spans="1:9" x14ac:dyDescent="0.2">
      <c r="A119" s="17"/>
      <c r="B119" s="10"/>
      <c r="C119" s="10"/>
      <c r="D119" s="9"/>
      <c r="E119" s="17"/>
      <c r="F119" s="75"/>
      <c r="G119" s="50"/>
      <c r="H119" s="13"/>
      <c r="I119" s="14"/>
    </row>
    <row r="120" spans="1:9" ht="51" x14ac:dyDescent="0.2">
      <c r="A120" s="2" t="s">
        <v>45</v>
      </c>
      <c r="B120" s="86" t="s">
        <v>0</v>
      </c>
      <c r="C120" s="86"/>
      <c r="D120" s="33" t="s">
        <v>1</v>
      </c>
      <c r="E120" s="33" t="s">
        <v>3</v>
      </c>
      <c r="F120" s="74" t="s">
        <v>2</v>
      </c>
      <c r="G120" s="49" t="s">
        <v>11</v>
      </c>
      <c r="H120" s="59" t="s">
        <v>10</v>
      </c>
      <c r="I120" s="14"/>
    </row>
    <row r="121" spans="1:9" x14ac:dyDescent="0.2">
      <c r="A121" s="8" t="s">
        <v>12</v>
      </c>
      <c r="B121">
        <v>0</v>
      </c>
      <c r="C121">
        <v>0</v>
      </c>
      <c r="D121">
        <f>AVERAGE(B121:C121)</f>
        <v>0</v>
      </c>
      <c r="E121" s="1">
        <v>1</v>
      </c>
      <c r="F121" s="4">
        <f>1749.7-1736.1</f>
        <v>13.600000000000136</v>
      </c>
      <c r="G121" s="50" t="e">
        <f t="shared" ref="G121:G125" si="39">LOG10(D121*E121*100)</f>
        <v>#NUM!</v>
      </c>
      <c r="H121" s="13" t="e">
        <f>LOG10(D121*100*E121/F121*1000)</f>
        <v>#NUM!</v>
      </c>
      <c r="I121" s="14"/>
    </row>
    <row r="122" spans="1:9" x14ac:dyDescent="0.2">
      <c r="A122" s="8" t="s">
        <v>13</v>
      </c>
      <c r="B122">
        <v>0</v>
      </c>
      <c r="C122">
        <v>0</v>
      </c>
      <c r="D122">
        <f>AVERAGE(B122:C122)</f>
        <v>0</v>
      </c>
      <c r="E122" s="1">
        <v>1</v>
      </c>
      <c r="F122" s="4">
        <f>1637.1-1620.7</f>
        <v>16.399999999999864</v>
      </c>
      <c r="G122" s="50" t="e">
        <f t="shared" si="39"/>
        <v>#NUM!</v>
      </c>
      <c r="H122" s="13" t="e">
        <f>LOG10(D122*100*E122/F122*1000)</f>
        <v>#NUM!</v>
      </c>
      <c r="I122" s="14"/>
    </row>
    <row r="123" spans="1:9" x14ac:dyDescent="0.2">
      <c r="A123" s="8" t="s">
        <v>14</v>
      </c>
      <c r="B123">
        <v>0</v>
      </c>
      <c r="C123">
        <v>0</v>
      </c>
      <c r="D123">
        <f>AVERAGE(B123:C123)</f>
        <v>0</v>
      </c>
      <c r="E123" s="1">
        <v>1</v>
      </c>
      <c r="F123" s="4">
        <f>1754.1-1677.7</f>
        <v>76.399999999999864</v>
      </c>
      <c r="G123" s="50" t="e">
        <f t="shared" si="39"/>
        <v>#NUM!</v>
      </c>
      <c r="H123" s="13" t="e">
        <f>LOG10(D123*100*E123/F123*1000)</f>
        <v>#NUM!</v>
      </c>
      <c r="I123" s="14"/>
    </row>
    <row r="124" spans="1:9" x14ac:dyDescent="0.2">
      <c r="A124" s="8" t="s">
        <v>15</v>
      </c>
      <c r="B124" s="9">
        <v>0</v>
      </c>
      <c r="C124" s="9">
        <v>0</v>
      </c>
      <c r="D124" s="9">
        <f t="shared" ref="D124:D125" si="40">AVERAGE(B124:C124)</f>
        <v>0</v>
      </c>
      <c r="E124" s="26">
        <v>1</v>
      </c>
      <c r="F124" s="8">
        <f>1739.4-1706.8</f>
        <v>32.600000000000136</v>
      </c>
      <c r="G124" s="50" t="e">
        <f t="shared" si="39"/>
        <v>#NUM!</v>
      </c>
      <c r="H124" s="13" t="e">
        <f>LOG10(D124*100*E124/F124*1000)</f>
        <v>#NUM!</v>
      </c>
      <c r="I124" s="14"/>
    </row>
    <row r="125" spans="1:9" ht="17" x14ac:dyDescent="0.2">
      <c r="A125" s="17" t="s">
        <v>16</v>
      </c>
      <c r="B125" s="9">
        <v>0</v>
      </c>
      <c r="C125" s="9">
        <v>0</v>
      </c>
      <c r="D125" s="9">
        <f t="shared" si="40"/>
        <v>0</v>
      </c>
      <c r="E125" s="26">
        <v>1</v>
      </c>
      <c r="F125" s="8">
        <f>1975-1832.5</f>
        <v>142.5</v>
      </c>
      <c r="G125" s="50" t="e">
        <f t="shared" si="39"/>
        <v>#NUM!</v>
      </c>
      <c r="H125" s="13" t="e">
        <f t="shared" ref="H125" si="41">LOG10(D125*100*E125/F125*1000)</f>
        <v>#NUM!</v>
      </c>
      <c r="I125" s="14"/>
    </row>
    <row r="126" spans="1:9" s="48" customFormat="1" x14ac:dyDescent="0.2">
      <c r="A126" s="68"/>
      <c r="B126" s="69"/>
      <c r="C126" s="69"/>
      <c r="D126" s="70"/>
      <c r="E126" s="70"/>
      <c r="F126" s="76"/>
      <c r="G126" s="73"/>
      <c r="H126" s="71"/>
      <c r="I126" s="47"/>
    </row>
    <row r="127" spans="1:9" ht="51" x14ac:dyDescent="0.2">
      <c r="A127" s="2" t="s">
        <v>48</v>
      </c>
      <c r="B127" s="86" t="s">
        <v>0</v>
      </c>
      <c r="C127" s="86"/>
      <c r="D127" s="33" t="s">
        <v>1</v>
      </c>
      <c r="E127" s="33" t="s">
        <v>3</v>
      </c>
      <c r="F127" s="74" t="s">
        <v>2</v>
      </c>
      <c r="G127" s="49" t="s">
        <v>11</v>
      </c>
      <c r="H127" s="59" t="s">
        <v>10</v>
      </c>
      <c r="I127" s="14"/>
    </row>
    <row r="128" spans="1:9" x14ac:dyDescent="0.2">
      <c r="A128" s="8" t="s">
        <v>12</v>
      </c>
      <c r="B128">
        <v>0</v>
      </c>
      <c r="C128">
        <v>0</v>
      </c>
      <c r="D128">
        <f>AVERAGE(B128:C128)</f>
        <v>0</v>
      </c>
      <c r="E128" s="1">
        <v>1</v>
      </c>
      <c r="F128" s="4">
        <f>1699.8-1682.3</f>
        <v>17.5</v>
      </c>
      <c r="G128" s="50" t="e">
        <f t="shared" ref="G128:G132" si="42">LOG10(D128*E128*100)</f>
        <v>#NUM!</v>
      </c>
      <c r="H128" s="13" t="e">
        <f>LOG10(D128*100*E128/F128*1000)</f>
        <v>#NUM!</v>
      </c>
      <c r="I128" s="14"/>
    </row>
    <row r="129" spans="1:9" x14ac:dyDescent="0.2">
      <c r="A129" s="8" t="s">
        <v>13</v>
      </c>
      <c r="B129">
        <v>0</v>
      </c>
      <c r="C129">
        <v>0</v>
      </c>
      <c r="D129">
        <f>AVERAGE(B129:C129)</f>
        <v>0</v>
      </c>
      <c r="E129" s="1">
        <v>1</v>
      </c>
      <c r="F129" s="4">
        <f>1734.7-1684.9</f>
        <v>49.799999999999955</v>
      </c>
      <c r="G129" s="50" t="e">
        <f t="shared" si="42"/>
        <v>#NUM!</v>
      </c>
      <c r="H129" s="13" t="e">
        <f>LOG10(D129*100*E129/F129*1000)</f>
        <v>#NUM!</v>
      </c>
      <c r="I129" s="14"/>
    </row>
    <row r="130" spans="1:9" x14ac:dyDescent="0.2">
      <c r="A130" s="8" t="s">
        <v>14</v>
      </c>
      <c r="B130">
        <v>0</v>
      </c>
      <c r="C130">
        <v>0</v>
      </c>
      <c r="D130">
        <f>AVERAGE(B130:C130)</f>
        <v>0</v>
      </c>
      <c r="E130" s="1">
        <v>1</v>
      </c>
      <c r="F130" s="4">
        <f>1744.2-1648.4</f>
        <v>95.799999999999955</v>
      </c>
      <c r="G130" s="50" t="e">
        <f t="shared" si="42"/>
        <v>#NUM!</v>
      </c>
      <c r="H130" s="13" t="e">
        <f>LOG10(D130*100*E130/F130*1000)</f>
        <v>#NUM!</v>
      </c>
      <c r="I130" s="14"/>
    </row>
    <row r="131" spans="1:9" x14ac:dyDescent="0.2">
      <c r="A131" s="8" t="s">
        <v>15</v>
      </c>
      <c r="B131" s="9">
        <v>0</v>
      </c>
      <c r="C131" s="9">
        <v>0</v>
      </c>
      <c r="D131" s="9">
        <f t="shared" ref="D131:D132" si="43">AVERAGE(B131:C131)</f>
        <v>0</v>
      </c>
      <c r="E131" s="26">
        <v>1</v>
      </c>
      <c r="F131" s="8">
        <f>1851.4-1688.3</f>
        <v>163.10000000000014</v>
      </c>
      <c r="G131" s="50" t="e">
        <f t="shared" si="42"/>
        <v>#NUM!</v>
      </c>
      <c r="H131" s="13" t="e">
        <f>LOG10(D131*100*E131/F131*1000)</f>
        <v>#NUM!</v>
      </c>
      <c r="I131" s="14"/>
    </row>
    <row r="132" spans="1:9" ht="17" x14ac:dyDescent="0.2">
      <c r="A132" s="17" t="s">
        <v>16</v>
      </c>
      <c r="B132" s="9">
        <v>0</v>
      </c>
      <c r="C132" s="9">
        <v>0</v>
      </c>
      <c r="D132" s="9">
        <f t="shared" si="43"/>
        <v>0</v>
      </c>
      <c r="E132" s="26">
        <v>1</v>
      </c>
      <c r="F132" s="8">
        <f>1758.9-1671.5</f>
        <v>87.400000000000091</v>
      </c>
      <c r="G132" s="50" t="e">
        <f t="shared" si="42"/>
        <v>#NUM!</v>
      </c>
      <c r="H132" s="13" t="e">
        <f t="shared" ref="H132" si="44">LOG10(D132*100*E132/F132*1000)</f>
        <v>#NUM!</v>
      </c>
      <c r="I132" s="14"/>
    </row>
    <row r="133" spans="1:9" x14ac:dyDescent="0.2">
      <c r="A133" s="8"/>
      <c r="B133" s="9"/>
      <c r="C133" s="9"/>
      <c r="D133" s="9"/>
      <c r="E133" s="26"/>
      <c r="F133" s="8"/>
      <c r="G133" s="50"/>
      <c r="H133" s="13"/>
      <c r="I133" s="14"/>
    </row>
    <row r="134" spans="1:9" ht="51" x14ac:dyDescent="0.2">
      <c r="A134" s="2" t="s">
        <v>49</v>
      </c>
      <c r="B134" s="86" t="s">
        <v>0</v>
      </c>
      <c r="C134" s="86"/>
      <c r="D134" s="33" t="s">
        <v>1</v>
      </c>
      <c r="E134" s="33" t="s">
        <v>3</v>
      </c>
      <c r="F134" s="74" t="s">
        <v>2</v>
      </c>
      <c r="G134" s="49" t="s">
        <v>11</v>
      </c>
      <c r="H134" s="59" t="s">
        <v>10</v>
      </c>
      <c r="I134" s="14"/>
    </row>
    <row r="135" spans="1:9" x14ac:dyDescent="0.2">
      <c r="A135" s="8" t="s">
        <v>12</v>
      </c>
      <c r="B135">
        <v>0</v>
      </c>
      <c r="C135">
        <v>0</v>
      </c>
      <c r="D135">
        <f>AVERAGE(B135:C135)</f>
        <v>0</v>
      </c>
      <c r="E135" s="1">
        <v>1</v>
      </c>
      <c r="F135" s="4">
        <f>1743.7-1718.2</f>
        <v>25.5</v>
      </c>
      <c r="G135" s="50" t="e">
        <f t="shared" ref="G135:G139" si="45">LOG10(D135*E135*100)</f>
        <v>#NUM!</v>
      </c>
      <c r="H135" s="13" t="e">
        <f>LOG10(D135*100*E135/F135*1000)</f>
        <v>#NUM!</v>
      </c>
      <c r="I135" s="14"/>
    </row>
    <row r="136" spans="1:9" x14ac:dyDescent="0.2">
      <c r="A136" s="8" t="s">
        <v>13</v>
      </c>
      <c r="B136">
        <v>0</v>
      </c>
      <c r="C136">
        <v>0</v>
      </c>
      <c r="D136">
        <f>AVERAGE(B136:C136)</f>
        <v>0</v>
      </c>
      <c r="E136" s="1">
        <v>1</v>
      </c>
      <c r="F136" s="4">
        <f>1720.8-1702.6</f>
        <v>18.200000000000045</v>
      </c>
      <c r="G136" s="50" t="e">
        <f t="shared" si="45"/>
        <v>#NUM!</v>
      </c>
      <c r="H136" s="13" t="e">
        <f>LOG10(D136*100*E136/F136*1000)</f>
        <v>#NUM!</v>
      </c>
      <c r="I136" s="14"/>
    </row>
    <row r="137" spans="1:9" x14ac:dyDescent="0.2">
      <c r="A137" s="8" t="s">
        <v>14</v>
      </c>
      <c r="B137">
        <v>0</v>
      </c>
      <c r="C137">
        <v>0</v>
      </c>
      <c r="D137">
        <f>AVERAGE(B137:C137)</f>
        <v>0</v>
      </c>
      <c r="E137" s="1">
        <v>1</v>
      </c>
      <c r="F137" s="4">
        <f>1655.1-1641.3</f>
        <v>13.799999999999955</v>
      </c>
      <c r="G137" s="50" t="e">
        <f t="shared" si="45"/>
        <v>#NUM!</v>
      </c>
      <c r="H137" s="13" t="e">
        <f>LOG10(D137*100*E137/F137*1000)</f>
        <v>#NUM!</v>
      </c>
      <c r="I137" s="14"/>
    </row>
    <row r="138" spans="1:9" x14ac:dyDescent="0.2">
      <c r="A138" s="8" t="s">
        <v>15</v>
      </c>
      <c r="B138" s="9">
        <v>0</v>
      </c>
      <c r="C138" s="9">
        <v>0</v>
      </c>
      <c r="D138" s="9">
        <f t="shared" ref="D138:D139" si="46">AVERAGE(B138:C138)</f>
        <v>0</v>
      </c>
      <c r="E138" s="26">
        <v>1</v>
      </c>
      <c r="F138" s="8">
        <f>1960.4-1856.7</f>
        <v>103.70000000000005</v>
      </c>
      <c r="G138" s="50" t="e">
        <f t="shared" si="45"/>
        <v>#NUM!</v>
      </c>
      <c r="H138" s="13" t="e">
        <f>LOG10(D138*100*E138/F138*1000)</f>
        <v>#NUM!</v>
      </c>
      <c r="I138" s="14"/>
    </row>
    <row r="139" spans="1:9" ht="17" x14ac:dyDescent="0.2">
      <c r="A139" s="17" t="s">
        <v>16</v>
      </c>
      <c r="B139" s="9">
        <v>0</v>
      </c>
      <c r="C139" s="9">
        <v>0</v>
      </c>
      <c r="D139" s="9">
        <f t="shared" si="46"/>
        <v>0</v>
      </c>
      <c r="E139" s="26">
        <v>1</v>
      </c>
      <c r="F139" s="8">
        <f>1740-1696.5</f>
        <v>43.5</v>
      </c>
      <c r="G139" s="50" t="e">
        <f t="shared" si="45"/>
        <v>#NUM!</v>
      </c>
      <c r="H139" s="13" t="e">
        <f t="shared" ref="H139" si="47">LOG10(D139*100*E139/F139*1000)</f>
        <v>#NUM!</v>
      </c>
      <c r="I139" s="14"/>
    </row>
    <row r="140" spans="1:9" x14ac:dyDescent="0.2">
      <c r="A140" s="17"/>
      <c r="B140" s="10"/>
      <c r="C140" s="10"/>
      <c r="D140" s="9"/>
      <c r="E140" s="17"/>
      <c r="F140" s="75"/>
      <c r="G140" s="50"/>
      <c r="H140" s="13"/>
      <c r="I140" s="14"/>
    </row>
    <row r="141" spans="1:9" ht="51" x14ac:dyDescent="0.2">
      <c r="A141" s="2" t="s">
        <v>50</v>
      </c>
      <c r="B141" s="86" t="s">
        <v>0</v>
      </c>
      <c r="C141" s="86"/>
      <c r="D141" s="33" t="s">
        <v>1</v>
      </c>
      <c r="E141" s="33" t="s">
        <v>3</v>
      </c>
      <c r="F141" s="74" t="s">
        <v>2</v>
      </c>
      <c r="G141" s="49" t="s">
        <v>11</v>
      </c>
      <c r="H141" s="59" t="s">
        <v>10</v>
      </c>
      <c r="I141" s="14"/>
    </row>
    <row r="142" spans="1:9" x14ac:dyDescent="0.2">
      <c r="A142" s="8" t="s">
        <v>12</v>
      </c>
      <c r="B142">
        <v>0</v>
      </c>
      <c r="C142">
        <v>0</v>
      </c>
      <c r="D142">
        <f>AVERAGE(B142:C142)</f>
        <v>0</v>
      </c>
      <c r="E142" s="1">
        <v>1</v>
      </c>
      <c r="F142" s="4">
        <f>1686.8-1664.9</f>
        <v>21.899999999999864</v>
      </c>
      <c r="G142" s="50" t="e">
        <f t="shared" ref="G142:G146" si="48">LOG10(D142*E142*100)</f>
        <v>#NUM!</v>
      </c>
      <c r="H142" s="13" t="e">
        <f>LOG10(D142*100*E142/F142*1000)</f>
        <v>#NUM!</v>
      </c>
      <c r="I142" s="14"/>
    </row>
    <row r="143" spans="1:9" x14ac:dyDescent="0.2">
      <c r="A143" s="8" t="s">
        <v>13</v>
      </c>
      <c r="B143">
        <v>0</v>
      </c>
      <c r="C143">
        <v>0</v>
      </c>
      <c r="D143">
        <f>AVERAGE(B143:C143)</f>
        <v>0</v>
      </c>
      <c r="E143" s="1">
        <v>1</v>
      </c>
      <c r="F143" s="4">
        <f>1788.6-1707</f>
        <v>81.599999999999909</v>
      </c>
      <c r="G143" s="50" t="e">
        <f t="shared" si="48"/>
        <v>#NUM!</v>
      </c>
      <c r="H143" s="13" t="e">
        <f>LOG10(D143*100*E143/F143*1000)</f>
        <v>#NUM!</v>
      </c>
      <c r="I143" s="14"/>
    </row>
    <row r="144" spans="1:9" x14ac:dyDescent="0.2">
      <c r="A144" s="8" t="s">
        <v>14</v>
      </c>
      <c r="B144">
        <v>0</v>
      </c>
      <c r="C144">
        <v>0</v>
      </c>
      <c r="D144">
        <f>AVERAGE(B144:C144)</f>
        <v>0</v>
      </c>
      <c r="E144" s="1">
        <v>1</v>
      </c>
      <c r="F144" s="4">
        <f>1838.9-1721.4</f>
        <v>117.5</v>
      </c>
      <c r="G144" s="50" t="e">
        <f t="shared" si="48"/>
        <v>#NUM!</v>
      </c>
      <c r="H144" s="13" t="e">
        <f>LOG10(D144*100*E144/F144*1000)</f>
        <v>#NUM!</v>
      </c>
      <c r="I144" s="14"/>
    </row>
    <row r="145" spans="1:9" x14ac:dyDescent="0.2">
      <c r="A145" s="8" t="s">
        <v>15</v>
      </c>
      <c r="B145" s="9">
        <v>0</v>
      </c>
      <c r="C145" s="9">
        <v>0</v>
      </c>
      <c r="D145" s="9">
        <f t="shared" ref="D145:D146" si="49">AVERAGE(B145:C145)</f>
        <v>0</v>
      </c>
      <c r="E145" s="26">
        <v>1</v>
      </c>
      <c r="F145" s="8">
        <f>1790.3-1679.7</f>
        <v>110.59999999999991</v>
      </c>
      <c r="G145" s="50" t="e">
        <f t="shared" si="48"/>
        <v>#NUM!</v>
      </c>
      <c r="H145" s="13" t="e">
        <f>LOG10(D145*100*E145/F145*1000)</f>
        <v>#NUM!</v>
      </c>
      <c r="I145" s="14"/>
    </row>
    <row r="146" spans="1:9" ht="17" x14ac:dyDescent="0.2">
      <c r="A146" s="17" t="s">
        <v>16</v>
      </c>
      <c r="B146" s="9">
        <v>0</v>
      </c>
      <c r="C146" s="9">
        <v>0</v>
      </c>
      <c r="D146" s="9">
        <f t="shared" si="49"/>
        <v>0</v>
      </c>
      <c r="E146" s="26">
        <v>1</v>
      </c>
      <c r="F146" s="8">
        <f>1746.3-1626.9</f>
        <v>119.39999999999986</v>
      </c>
      <c r="G146" s="50" t="e">
        <f t="shared" si="48"/>
        <v>#NUM!</v>
      </c>
      <c r="H146" s="13" t="e">
        <f t="shared" ref="H146" si="50">LOG10(D146*100*E146/F146*1000)</f>
        <v>#NUM!</v>
      </c>
      <c r="I146" s="14"/>
    </row>
    <row r="147" spans="1:9" x14ac:dyDescent="0.2">
      <c r="A147" s="2"/>
      <c r="B147" s="11"/>
      <c r="C147" s="11"/>
      <c r="D147" s="32"/>
      <c r="E147" s="33"/>
      <c r="F147" s="74"/>
      <c r="G147" s="49"/>
      <c r="H147" s="12"/>
      <c r="I147" s="14"/>
    </row>
    <row r="148" spans="1:9" x14ac:dyDescent="0.2">
      <c r="A148" s="8"/>
      <c r="G148" s="50"/>
      <c r="H148" s="13"/>
      <c r="I148" s="12"/>
    </row>
    <row r="149" spans="1:9" x14ac:dyDescent="0.2">
      <c r="A149" s="8"/>
      <c r="B149" s="9"/>
      <c r="C149" s="9"/>
      <c r="D149" s="9"/>
      <c r="E149" s="26"/>
      <c r="F149" s="8"/>
      <c r="G149" s="51"/>
      <c r="H149" s="13"/>
      <c r="I149" s="14"/>
    </row>
    <row r="150" spans="1:9" x14ac:dyDescent="0.2">
      <c r="A150" s="8"/>
      <c r="B150" s="9"/>
      <c r="C150" s="9"/>
      <c r="D150" s="9"/>
      <c r="E150" s="26"/>
      <c r="F150" s="8"/>
      <c r="G150" s="51"/>
      <c r="H150" s="13"/>
      <c r="I150" s="14"/>
    </row>
    <row r="151" spans="1:9" x14ac:dyDescent="0.2">
      <c r="A151" s="8"/>
      <c r="B151" s="9"/>
      <c r="C151" s="9"/>
      <c r="D151" s="9"/>
      <c r="E151" s="26"/>
      <c r="F151" s="8"/>
      <c r="G151" s="51"/>
      <c r="H151" s="13"/>
      <c r="I151" s="14"/>
    </row>
    <row r="152" spans="1:9" x14ac:dyDescent="0.2">
      <c r="A152" s="17"/>
      <c r="B152" s="10"/>
      <c r="C152" s="10"/>
      <c r="D152" s="9"/>
      <c r="E152" s="17"/>
      <c r="F152" s="75"/>
      <c r="G152" s="52"/>
      <c r="H152" s="13"/>
      <c r="I152" s="14"/>
    </row>
    <row r="153" spans="1:9" x14ac:dyDescent="0.2">
      <c r="A153" s="8"/>
      <c r="B153" s="9"/>
      <c r="C153" s="9"/>
      <c r="D153" s="9"/>
      <c r="E153" s="26"/>
      <c r="F153" s="8"/>
      <c r="G153" s="51"/>
      <c r="H153" s="13"/>
      <c r="I153" s="14"/>
    </row>
    <row r="154" spans="1:9" x14ac:dyDescent="0.2">
      <c r="A154" s="2"/>
      <c r="B154" s="32"/>
      <c r="C154" s="32"/>
      <c r="D154" s="32"/>
      <c r="E154" s="33"/>
      <c r="F154" s="74"/>
      <c r="G154" s="49"/>
      <c r="H154" s="12"/>
      <c r="I154" s="14"/>
    </row>
    <row r="155" spans="1:9" x14ac:dyDescent="0.2">
      <c r="A155" s="8"/>
      <c r="G155" s="50"/>
      <c r="H155" s="13"/>
      <c r="I155" s="14"/>
    </row>
    <row r="156" spans="1:9" x14ac:dyDescent="0.2">
      <c r="A156" s="8"/>
      <c r="B156" s="9"/>
      <c r="C156" s="9"/>
      <c r="D156" s="9"/>
      <c r="E156" s="26"/>
      <c r="F156" s="8"/>
      <c r="G156" s="51"/>
      <c r="H156" s="13"/>
      <c r="I156" s="14"/>
    </row>
    <row r="157" spans="1:9" x14ac:dyDescent="0.2">
      <c r="A157" s="8"/>
      <c r="B157" s="9"/>
      <c r="C157" s="9"/>
      <c r="D157" s="9"/>
      <c r="E157" s="26"/>
      <c r="F157" s="8"/>
      <c r="G157" s="51"/>
      <c r="H157" s="13"/>
      <c r="I157" s="14"/>
    </row>
    <row r="158" spans="1:9" x14ac:dyDescent="0.2">
      <c r="A158" s="8"/>
      <c r="B158" s="9"/>
      <c r="C158" s="9"/>
      <c r="D158" s="9"/>
      <c r="E158" s="26"/>
      <c r="F158" s="8"/>
      <c r="G158" s="51"/>
      <c r="H158" s="13"/>
      <c r="I158" s="14"/>
    </row>
    <row r="159" spans="1:9" x14ac:dyDescent="0.2">
      <c r="A159" s="17"/>
      <c r="B159" s="10"/>
      <c r="C159" s="10"/>
      <c r="D159" s="9"/>
      <c r="E159" s="17"/>
      <c r="F159" s="75"/>
      <c r="G159" s="52"/>
      <c r="H159" s="13"/>
      <c r="I159" s="14"/>
    </row>
    <row r="160" spans="1:9" x14ac:dyDescent="0.2">
      <c r="A160" s="8"/>
      <c r="B160" s="21"/>
      <c r="C160" s="9"/>
      <c r="D160" s="9"/>
      <c r="E160" s="26"/>
      <c r="G160" s="50"/>
      <c r="H160" s="13"/>
      <c r="I160" s="14"/>
    </row>
    <row r="161" spans="1:9" x14ac:dyDescent="0.2">
      <c r="A161" s="17"/>
      <c r="B161" s="11"/>
      <c r="C161" s="11"/>
      <c r="D161" s="32"/>
      <c r="E161" s="33"/>
      <c r="F161" s="74"/>
      <c r="G161" s="49"/>
      <c r="H161" s="13"/>
      <c r="I161" s="14"/>
    </row>
    <row r="162" spans="1:9" x14ac:dyDescent="0.2">
      <c r="A162" s="2"/>
      <c r="B162" s="11"/>
      <c r="C162" s="11"/>
      <c r="D162" s="32"/>
      <c r="E162" s="33"/>
      <c r="F162" s="74"/>
      <c r="G162" s="49"/>
      <c r="H162" s="12"/>
      <c r="I162" s="14"/>
    </row>
    <row r="163" spans="1:9" x14ac:dyDescent="0.2">
      <c r="A163" s="8"/>
      <c r="G163" s="50"/>
      <c r="H163" s="13"/>
      <c r="I163" s="14"/>
    </row>
    <row r="164" spans="1:9" x14ac:dyDescent="0.2">
      <c r="A164" s="8"/>
      <c r="B164" s="9"/>
      <c r="C164" s="9"/>
      <c r="D164" s="9"/>
      <c r="E164" s="26"/>
      <c r="F164" s="8"/>
      <c r="G164" s="51"/>
      <c r="H164" s="13"/>
      <c r="I164" s="14"/>
    </row>
    <row r="165" spans="1:9" x14ac:dyDescent="0.2">
      <c r="A165" s="8"/>
      <c r="B165" s="9"/>
      <c r="C165" s="9"/>
      <c r="D165" s="9"/>
      <c r="E165" s="26"/>
      <c r="F165" s="8"/>
      <c r="G165" s="51"/>
      <c r="H165" s="13"/>
      <c r="I165" s="14"/>
    </row>
    <row r="166" spans="1:9" x14ac:dyDescent="0.2">
      <c r="A166" s="8"/>
      <c r="B166" s="9"/>
      <c r="C166" s="9"/>
      <c r="D166" s="9"/>
      <c r="E166" s="26"/>
      <c r="F166" s="8"/>
      <c r="G166" s="51"/>
      <c r="H166" s="13"/>
      <c r="I166" s="14"/>
    </row>
    <row r="167" spans="1:9" x14ac:dyDescent="0.2">
      <c r="A167" s="17"/>
      <c r="B167" s="10"/>
      <c r="C167" s="10"/>
      <c r="D167" s="9"/>
      <c r="E167" s="17"/>
      <c r="F167" s="75"/>
      <c r="G167" s="52"/>
      <c r="H167" s="13"/>
      <c r="I167" s="14"/>
    </row>
    <row r="168" spans="1:9" x14ac:dyDescent="0.2">
      <c r="A168" s="8"/>
      <c r="B168" s="9"/>
      <c r="C168" s="9"/>
      <c r="D168" s="9"/>
      <c r="E168" s="26"/>
      <c r="F168" s="8"/>
      <c r="G168" s="51"/>
      <c r="H168" s="13"/>
      <c r="I168" s="14"/>
    </row>
    <row r="169" spans="1:9" x14ac:dyDescent="0.2">
      <c r="A169" s="8"/>
      <c r="B169" s="9"/>
      <c r="C169" s="9"/>
      <c r="D169" s="9"/>
      <c r="E169" s="26"/>
      <c r="F169" s="8"/>
      <c r="G169" s="51"/>
      <c r="H169" s="13"/>
      <c r="I169" s="14"/>
    </row>
    <row r="170" spans="1:9" x14ac:dyDescent="0.2">
      <c r="A170" s="8"/>
      <c r="B170" s="9"/>
      <c r="C170" s="9"/>
      <c r="D170" s="9"/>
      <c r="E170" s="26"/>
      <c r="F170" s="8"/>
      <c r="G170" s="51"/>
      <c r="H170" s="13"/>
      <c r="I170" s="14"/>
    </row>
    <row r="171" spans="1:9" x14ac:dyDescent="0.2">
      <c r="A171" s="8"/>
      <c r="B171" s="9"/>
      <c r="C171" s="9"/>
      <c r="D171" s="9"/>
      <c r="E171" s="26"/>
      <c r="F171" s="8"/>
      <c r="G171" s="51"/>
      <c r="H171" s="13"/>
      <c r="I171" s="14"/>
    </row>
    <row r="172" spans="1:9" x14ac:dyDescent="0.2">
      <c r="A172" s="17"/>
      <c r="B172" s="9"/>
      <c r="C172" s="11"/>
      <c r="D172" s="9"/>
      <c r="E172" s="33"/>
      <c r="F172" s="74"/>
      <c r="G172" s="49"/>
      <c r="H172" s="13"/>
      <c r="I172" s="14"/>
    </row>
    <row r="173" spans="1:9" x14ac:dyDescent="0.2">
      <c r="A173" s="20"/>
      <c r="B173" s="21"/>
      <c r="C173" s="21"/>
      <c r="D173" s="9"/>
      <c r="E173" s="27"/>
      <c r="F173" s="20"/>
      <c r="G173" s="53"/>
      <c r="H173" s="13"/>
      <c r="I173" s="14"/>
    </row>
    <row r="174" spans="1:9" x14ac:dyDescent="0.2">
      <c r="A174" s="20"/>
      <c r="B174" s="21"/>
      <c r="C174" s="21"/>
      <c r="D174" s="9"/>
      <c r="E174" s="27"/>
      <c r="F174" s="20"/>
      <c r="G174" s="53"/>
      <c r="H174" s="13"/>
      <c r="I174" s="14"/>
    </row>
    <row r="175" spans="1:9" x14ac:dyDescent="0.2">
      <c r="A175" s="20"/>
      <c r="B175" s="21"/>
      <c r="C175" s="21"/>
      <c r="D175" s="9"/>
      <c r="E175" s="27"/>
      <c r="F175" s="20"/>
      <c r="G175" s="53"/>
      <c r="H175" s="13"/>
      <c r="I175" s="14"/>
    </row>
    <row r="176" spans="1:9" x14ac:dyDescent="0.2">
      <c r="A176" s="8"/>
      <c r="B176" s="21"/>
      <c r="D176" s="9"/>
      <c r="G176" s="50"/>
      <c r="H176" s="13"/>
      <c r="I176" s="14"/>
    </row>
    <row r="177" spans="1:9" x14ac:dyDescent="0.2">
      <c r="A177" s="8"/>
      <c r="B177" s="21"/>
      <c r="D177" s="9"/>
      <c r="G177" s="50"/>
      <c r="H177" s="13"/>
      <c r="I177" s="14"/>
    </row>
    <row r="178" spans="1:9" x14ac:dyDescent="0.2">
      <c r="A178" s="19"/>
      <c r="B178" s="11"/>
      <c r="C178" s="11"/>
      <c r="D178" s="32"/>
      <c r="E178" s="33"/>
      <c r="F178" s="74"/>
      <c r="G178" s="49"/>
      <c r="H178" s="12"/>
      <c r="I178" s="14"/>
    </row>
    <row r="179" spans="1:9" x14ac:dyDescent="0.2">
      <c r="A179" s="8"/>
      <c r="G179" s="50"/>
      <c r="H179" s="13"/>
      <c r="I179" s="12"/>
    </row>
    <row r="180" spans="1:9" x14ac:dyDescent="0.2">
      <c r="A180" s="8"/>
      <c r="B180" s="9"/>
      <c r="C180" s="9"/>
      <c r="D180" s="9"/>
      <c r="E180" s="26"/>
      <c r="F180" s="8"/>
      <c r="G180" s="51"/>
      <c r="H180" s="13"/>
      <c r="I180" s="14"/>
    </row>
    <row r="181" spans="1:9" x14ac:dyDescent="0.2">
      <c r="A181" s="8"/>
      <c r="B181" s="9"/>
      <c r="C181" s="9"/>
      <c r="D181" s="9"/>
      <c r="E181" s="26"/>
      <c r="F181" s="8"/>
      <c r="G181" s="51"/>
      <c r="H181" s="13"/>
      <c r="I181" s="14"/>
    </row>
    <row r="182" spans="1:9" x14ac:dyDescent="0.2">
      <c r="A182" s="8"/>
      <c r="B182" s="9"/>
      <c r="C182" s="9"/>
      <c r="D182" s="9"/>
      <c r="E182" s="26"/>
      <c r="F182" s="8"/>
      <c r="G182" s="51"/>
      <c r="H182" s="13"/>
      <c r="I182" s="14"/>
    </row>
    <row r="183" spans="1:9" x14ac:dyDescent="0.2">
      <c r="A183" s="17"/>
      <c r="B183" s="10"/>
      <c r="C183" s="10"/>
      <c r="D183" s="9"/>
      <c r="E183" s="17"/>
      <c r="F183" s="75"/>
      <c r="G183" s="52"/>
      <c r="H183" s="13"/>
      <c r="I183" s="14"/>
    </row>
    <row r="184" spans="1:9" x14ac:dyDescent="0.2">
      <c r="A184" s="8"/>
      <c r="B184" s="9"/>
      <c r="C184" s="9"/>
      <c r="D184" s="9"/>
      <c r="E184" s="26"/>
      <c r="F184" s="8"/>
      <c r="G184" s="51"/>
      <c r="H184" s="13"/>
      <c r="I184" s="14"/>
    </row>
    <row r="185" spans="1:9" x14ac:dyDescent="0.2">
      <c r="A185" s="8"/>
      <c r="B185" s="9"/>
      <c r="C185" s="9"/>
      <c r="D185" s="9"/>
      <c r="E185" s="26"/>
      <c r="F185" s="8"/>
      <c r="G185" s="51"/>
      <c r="H185" s="13"/>
      <c r="I185" s="14"/>
    </row>
    <row r="186" spans="1:9" x14ac:dyDescent="0.2">
      <c r="A186" s="8"/>
      <c r="B186" s="9"/>
      <c r="C186" s="9"/>
      <c r="D186" s="9"/>
      <c r="E186" s="26"/>
      <c r="F186" s="8"/>
      <c r="G186" s="51"/>
      <c r="H186" s="13"/>
      <c r="I186" s="14"/>
    </row>
    <row r="187" spans="1:9" x14ac:dyDescent="0.2">
      <c r="A187" s="8"/>
      <c r="B187" s="9"/>
      <c r="C187" s="9"/>
      <c r="D187" s="9"/>
      <c r="E187" s="26"/>
      <c r="F187" s="8"/>
      <c r="G187" s="51"/>
      <c r="H187" s="13"/>
      <c r="I187" s="14"/>
    </row>
    <row r="188" spans="1:9" x14ac:dyDescent="0.2">
      <c r="A188" s="8"/>
      <c r="B188" s="9"/>
      <c r="C188" s="9"/>
      <c r="D188" s="9"/>
      <c r="E188" s="26"/>
      <c r="G188" s="50"/>
      <c r="H188" s="13"/>
      <c r="I188" s="14"/>
    </row>
    <row r="189" spans="1:9" x14ac:dyDescent="0.2">
      <c r="A189" s="20"/>
      <c r="B189" s="21"/>
      <c r="C189" s="21"/>
      <c r="D189" s="9"/>
      <c r="E189" s="27"/>
      <c r="F189" s="20"/>
      <c r="G189" s="53"/>
      <c r="H189" s="13"/>
      <c r="I189" s="14"/>
    </row>
    <row r="190" spans="1:9" x14ac:dyDescent="0.2">
      <c r="A190" s="20"/>
      <c r="B190" s="21"/>
      <c r="C190" s="21"/>
      <c r="D190" s="9"/>
      <c r="E190" s="27"/>
      <c r="F190" s="20"/>
      <c r="G190" s="53"/>
      <c r="H190" s="13"/>
      <c r="I190" s="14"/>
    </row>
    <row r="191" spans="1:9" x14ac:dyDescent="0.2">
      <c r="A191" s="20"/>
      <c r="B191" s="21"/>
      <c r="C191" s="21"/>
      <c r="D191" s="9"/>
      <c r="E191" s="27"/>
      <c r="F191" s="20"/>
      <c r="G191" s="53"/>
      <c r="H191" s="13"/>
      <c r="I191" s="14"/>
    </row>
    <row r="192" spans="1:9" x14ac:dyDescent="0.2">
      <c r="A192" s="8"/>
      <c r="B192" s="21"/>
      <c r="C192" s="21"/>
      <c r="G192" s="50"/>
      <c r="H192" s="13"/>
      <c r="I192" s="5"/>
    </row>
    <row r="193" spans="1:9" x14ac:dyDescent="0.2">
      <c r="A193" s="8"/>
      <c r="B193" s="21"/>
      <c r="G193" s="50"/>
      <c r="H193" s="13"/>
      <c r="I193" s="5"/>
    </row>
    <row r="194" spans="1:9" x14ac:dyDescent="0.2">
      <c r="A194" s="19"/>
      <c r="B194" s="11"/>
      <c r="C194" s="11"/>
      <c r="D194" s="32"/>
      <c r="E194" s="33"/>
      <c r="F194" s="74"/>
      <c r="G194" s="49"/>
      <c r="H194" s="12"/>
      <c r="I194" s="5"/>
    </row>
    <row r="195" spans="1:9" x14ac:dyDescent="0.2">
      <c r="A195" s="8"/>
      <c r="G195" s="50"/>
      <c r="H195" s="14"/>
      <c r="I195" s="5"/>
    </row>
    <row r="196" spans="1:9" x14ac:dyDescent="0.2">
      <c r="A196" s="8"/>
      <c r="B196" s="9"/>
      <c r="C196" s="9"/>
      <c r="D196" s="9"/>
      <c r="E196" s="26"/>
      <c r="F196" s="8"/>
      <c r="G196" s="51"/>
      <c r="H196" s="14"/>
      <c r="I196" s="5"/>
    </row>
    <row r="197" spans="1:9" x14ac:dyDescent="0.2">
      <c r="A197" s="8"/>
      <c r="B197" s="9"/>
      <c r="C197" s="9"/>
      <c r="D197" s="9"/>
      <c r="E197" s="26"/>
      <c r="F197" s="8"/>
      <c r="G197" s="51"/>
      <c r="H197" s="14"/>
      <c r="I197" s="5"/>
    </row>
    <row r="198" spans="1:9" x14ac:dyDescent="0.2">
      <c r="A198" s="8"/>
      <c r="B198" s="9"/>
      <c r="C198" s="9"/>
      <c r="D198" s="9"/>
      <c r="E198" s="26"/>
      <c r="F198" s="8"/>
      <c r="G198" s="51"/>
      <c r="H198" s="14"/>
      <c r="I198" s="5"/>
    </row>
    <row r="199" spans="1:9" x14ac:dyDescent="0.2">
      <c r="A199" s="17"/>
      <c r="B199" s="10"/>
      <c r="C199" s="10"/>
      <c r="D199" s="9"/>
      <c r="E199" s="17"/>
      <c r="F199" s="75"/>
      <c r="G199" s="52"/>
      <c r="H199" s="14"/>
      <c r="I199" s="5"/>
    </row>
    <row r="200" spans="1:9" x14ac:dyDescent="0.2">
      <c r="A200" s="8"/>
      <c r="B200" s="9"/>
      <c r="C200" s="9"/>
      <c r="D200" s="9"/>
      <c r="E200" s="26"/>
      <c r="F200" s="8"/>
      <c r="G200" s="51"/>
      <c r="H200" s="14"/>
      <c r="I200" s="5"/>
    </row>
    <row r="201" spans="1:9" x14ac:dyDescent="0.2">
      <c r="A201" s="8"/>
      <c r="B201" s="9"/>
      <c r="C201" s="9"/>
      <c r="D201" s="9"/>
      <c r="E201" s="26"/>
      <c r="F201" s="8"/>
      <c r="G201" s="51"/>
      <c r="H201" s="14"/>
      <c r="I201" s="5"/>
    </row>
    <row r="202" spans="1:9" x14ac:dyDescent="0.2">
      <c r="A202" s="8"/>
      <c r="B202" s="9"/>
      <c r="C202" s="9"/>
      <c r="D202" s="9"/>
      <c r="E202" s="26"/>
      <c r="F202" s="8"/>
      <c r="G202" s="51"/>
      <c r="H202" s="14"/>
      <c r="I202" s="5"/>
    </row>
    <row r="203" spans="1:9" x14ac:dyDescent="0.2">
      <c r="A203" s="8"/>
      <c r="B203" s="9"/>
      <c r="C203" s="9"/>
      <c r="D203" s="9"/>
      <c r="E203" s="26"/>
      <c r="G203" s="50"/>
      <c r="H203" s="14"/>
      <c r="I203" s="5"/>
    </row>
    <row r="204" spans="1:9" x14ac:dyDescent="0.2">
      <c r="A204" s="8"/>
      <c r="B204" s="9"/>
      <c r="C204" s="9"/>
      <c r="D204" s="9"/>
      <c r="E204" s="26"/>
      <c r="G204" s="50"/>
      <c r="H204" s="14"/>
      <c r="I204" s="5"/>
    </row>
    <row r="205" spans="1:9" x14ac:dyDescent="0.2">
      <c r="A205" s="20"/>
      <c r="B205" s="21"/>
      <c r="C205" s="21"/>
      <c r="D205" s="9"/>
      <c r="E205" s="27"/>
      <c r="F205" s="20"/>
      <c r="G205" s="53"/>
      <c r="H205" s="14"/>
      <c r="I205" s="5"/>
    </row>
    <row r="206" spans="1:9" x14ac:dyDescent="0.2">
      <c r="A206" s="20"/>
      <c r="B206" s="21"/>
      <c r="C206" s="21"/>
      <c r="D206" s="9"/>
      <c r="E206" s="27"/>
      <c r="F206" s="20"/>
      <c r="G206" s="53"/>
      <c r="H206" s="14"/>
      <c r="I206" s="5"/>
    </row>
    <row r="207" spans="1:9" x14ac:dyDescent="0.2">
      <c r="A207" s="20"/>
      <c r="B207" s="21"/>
      <c r="C207" s="21"/>
      <c r="D207" s="9"/>
      <c r="E207" s="27"/>
      <c r="F207" s="20"/>
      <c r="G207" s="53"/>
      <c r="H207" s="14"/>
      <c r="I207" s="5"/>
    </row>
    <row r="208" spans="1:9" x14ac:dyDescent="0.2">
      <c r="A208" s="8"/>
      <c r="B208" s="21"/>
      <c r="C208" s="9"/>
      <c r="D208" s="9"/>
      <c r="E208" s="26"/>
      <c r="G208" s="50"/>
      <c r="H208" s="14"/>
      <c r="I208" s="3"/>
    </row>
    <row r="209" spans="1:9" x14ac:dyDescent="0.2">
      <c r="A209" s="8"/>
      <c r="B209" s="21"/>
      <c r="C209" s="9"/>
      <c r="D209" s="9"/>
      <c r="G209" s="50"/>
      <c r="H209" s="14"/>
      <c r="I209" s="3"/>
    </row>
    <row r="210" spans="1:9" x14ac:dyDescent="0.2">
      <c r="A210" s="19"/>
      <c r="B210" s="11"/>
      <c r="C210" s="11"/>
      <c r="D210" s="32"/>
      <c r="E210" s="33"/>
      <c r="F210" s="74"/>
      <c r="G210" s="49"/>
      <c r="H210" s="12"/>
      <c r="I210" s="3"/>
    </row>
    <row r="211" spans="1:9" x14ac:dyDescent="0.2">
      <c r="A211" s="8"/>
      <c r="G211" s="50"/>
      <c r="H211" s="14"/>
    </row>
    <row r="212" spans="1:9" x14ac:dyDescent="0.2">
      <c r="A212" s="8"/>
      <c r="B212" s="9"/>
      <c r="C212" s="9"/>
      <c r="D212" s="9"/>
      <c r="E212" s="26"/>
      <c r="F212" s="8"/>
      <c r="G212" s="51"/>
      <c r="H212" s="14"/>
      <c r="I212" s="32"/>
    </row>
    <row r="213" spans="1:9" x14ac:dyDescent="0.2">
      <c r="A213" s="8"/>
      <c r="B213" s="9"/>
      <c r="C213" s="9"/>
      <c r="D213" s="9"/>
      <c r="E213" s="26"/>
      <c r="F213" s="8"/>
      <c r="G213" s="51"/>
      <c r="H213" s="14"/>
      <c r="I213" s="5"/>
    </row>
    <row r="214" spans="1:9" x14ac:dyDescent="0.2">
      <c r="A214" s="8"/>
      <c r="B214" s="9"/>
      <c r="C214" s="9"/>
      <c r="D214" s="9"/>
      <c r="E214" s="26"/>
      <c r="F214" s="8"/>
      <c r="G214" s="51"/>
      <c r="H214" s="14"/>
      <c r="I214" s="5"/>
    </row>
    <row r="215" spans="1:9" x14ac:dyDescent="0.2">
      <c r="A215" s="17"/>
      <c r="B215" s="10"/>
      <c r="C215" s="10"/>
      <c r="D215" s="9"/>
      <c r="E215" s="17"/>
      <c r="F215" s="75"/>
      <c r="G215" s="52"/>
      <c r="H215" s="14"/>
      <c r="I215" s="5"/>
    </row>
    <row r="216" spans="1:9" x14ac:dyDescent="0.2">
      <c r="A216" s="8"/>
      <c r="B216" s="9"/>
      <c r="C216" s="9"/>
      <c r="D216" s="9"/>
      <c r="E216" s="26"/>
      <c r="F216" s="8"/>
      <c r="G216" s="51"/>
      <c r="H216" s="14"/>
      <c r="I216" s="5"/>
    </row>
    <row r="217" spans="1:9" x14ac:dyDescent="0.2">
      <c r="A217" s="8"/>
      <c r="B217" s="9"/>
      <c r="C217" s="9"/>
      <c r="D217" s="9"/>
      <c r="E217" s="26"/>
      <c r="F217" s="8"/>
      <c r="G217" s="51"/>
      <c r="H217" s="14"/>
      <c r="I217" s="5"/>
    </row>
    <row r="218" spans="1:9" x14ac:dyDescent="0.2">
      <c r="A218" s="8"/>
      <c r="B218" s="9"/>
      <c r="C218" s="9"/>
      <c r="D218" s="9"/>
      <c r="E218" s="26"/>
      <c r="F218" s="8"/>
      <c r="G218" s="51"/>
      <c r="H218" s="14"/>
      <c r="I218" s="5"/>
    </row>
    <row r="219" spans="1:9" x14ac:dyDescent="0.2">
      <c r="A219" s="8"/>
      <c r="B219" s="9"/>
      <c r="C219" s="9"/>
      <c r="D219" s="9"/>
      <c r="E219" s="26"/>
      <c r="F219" s="15"/>
      <c r="G219" s="50"/>
      <c r="H219" s="14"/>
      <c r="I219" s="5"/>
    </row>
    <row r="220" spans="1:9" x14ac:dyDescent="0.2">
      <c r="A220" s="8"/>
      <c r="B220" s="9"/>
      <c r="C220" s="9"/>
      <c r="D220" s="9"/>
      <c r="E220" s="26"/>
      <c r="F220" s="15"/>
      <c r="G220" s="50"/>
      <c r="H220" s="14"/>
      <c r="I220" s="5"/>
    </row>
    <row r="221" spans="1:9" x14ac:dyDescent="0.2">
      <c r="A221" s="20"/>
      <c r="B221" s="21"/>
      <c r="C221" s="21"/>
      <c r="D221" s="9"/>
      <c r="E221" s="27"/>
      <c r="F221" s="20"/>
      <c r="G221" s="53"/>
      <c r="H221" s="14"/>
      <c r="I221" s="5"/>
    </row>
    <row r="222" spans="1:9" x14ac:dyDescent="0.2">
      <c r="A222" s="20"/>
      <c r="B222" s="21"/>
      <c r="C222" s="21"/>
      <c r="D222" s="9"/>
      <c r="E222" s="27"/>
      <c r="F222" s="20"/>
      <c r="G222" s="53"/>
      <c r="H222" s="14"/>
      <c r="I222" s="5"/>
    </row>
    <row r="223" spans="1:9" x14ac:dyDescent="0.2">
      <c r="A223" s="20"/>
      <c r="B223" s="21"/>
      <c r="C223" s="21"/>
      <c r="D223" s="9"/>
      <c r="E223" s="27"/>
      <c r="F223" s="20"/>
      <c r="G223" s="53"/>
      <c r="H223" s="14"/>
      <c r="I223" s="5"/>
    </row>
    <row r="224" spans="1:9" x14ac:dyDescent="0.2">
      <c r="A224" s="8"/>
      <c r="B224" s="21"/>
      <c r="C224" s="9"/>
      <c r="D224" s="9"/>
      <c r="E224" s="26"/>
      <c r="F224" s="15"/>
      <c r="G224" s="50"/>
      <c r="H224" s="13"/>
      <c r="I224" s="5"/>
    </row>
    <row r="225" spans="1:9" x14ac:dyDescent="0.2">
      <c r="A225" s="4"/>
      <c r="B225" s="21"/>
      <c r="C225" s="9"/>
      <c r="D225" s="9"/>
      <c r="E225" s="26"/>
      <c r="F225" s="15"/>
      <c r="G225" s="50"/>
      <c r="H225" s="13"/>
      <c r="I225" s="5"/>
    </row>
    <row r="226" spans="1:9" x14ac:dyDescent="0.2">
      <c r="A226" s="2"/>
      <c r="B226" s="11"/>
      <c r="C226" s="11"/>
      <c r="D226" s="32"/>
      <c r="E226" s="33"/>
      <c r="F226" s="74"/>
      <c r="G226" s="49"/>
      <c r="H226" s="12"/>
      <c r="I226" s="5"/>
    </row>
    <row r="227" spans="1:9" x14ac:dyDescent="0.2">
      <c r="A227" s="8"/>
      <c r="G227" s="50"/>
      <c r="H227" s="13"/>
      <c r="I227" s="5"/>
    </row>
    <row r="228" spans="1:9" x14ac:dyDescent="0.2">
      <c r="A228" s="8"/>
      <c r="B228" s="9"/>
      <c r="C228" s="9"/>
      <c r="D228" s="9"/>
      <c r="E228" s="26"/>
      <c r="F228" s="8"/>
      <c r="G228" s="51"/>
      <c r="H228" s="13"/>
      <c r="I228" s="5"/>
    </row>
    <row r="229" spans="1:9" x14ac:dyDescent="0.2">
      <c r="A229" s="8"/>
      <c r="B229" s="9"/>
      <c r="C229" s="9"/>
      <c r="D229" s="9"/>
      <c r="E229" s="26"/>
      <c r="F229" s="8"/>
      <c r="G229" s="51"/>
      <c r="H229" s="13"/>
      <c r="I229" s="5"/>
    </row>
    <row r="230" spans="1:9" x14ac:dyDescent="0.2">
      <c r="A230" s="8"/>
      <c r="B230" s="9"/>
      <c r="C230" s="9"/>
      <c r="D230" s="9"/>
      <c r="E230" s="26"/>
      <c r="F230" s="8"/>
      <c r="G230" s="51"/>
      <c r="H230" s="13"/>
      <c r="I230" s="5"/>
    </row>
    <row r="231" spans="1:9" x14ac:dyDescent="0.2">
      <c r="A231" s="17"/>
      <c r="B231" s="10"/>
      <c r="C231" s="10"/>
      <c r="D231" s="9"/>
      <c r="E231" s="17"/>
      <c r="F231" s="75"/>
      <c r="G231" s="52"/>
      <c r="H231" s="13"/>
      <c r="I231" s="5"/>
    </row>
    <row r="232" spans="1:9" x14ac:dyDescent="0.2">
      <c r="A232" s="8"/>
      <c r="B232" s="9"/>
      <c r="C232" s="9"/>
      <c r="D232" s="9"/>
      <c r="E232" s="26"/>
      <c r="F232" s="8"/>
      <c r="G232" s="51"/>
      <c r="H232" s="13"/>
      <c r="I232" s="5"/>
    </row>
    <row r="233" spans="1:9" x14ac:dyDescent="0.2">
      <c r="A233" s="8"/>
      <c r="B233" s="22"/>
      <c r="C233" s="22"/>
      <c r="D233" s="9"/>
      <c r="E233" s="26"/>
      <c r="F233" s="8"/>
      <c r="G233" s="51"/>
      <c r="H233" s="13"/>
      <c r="I233" s="5"/>
    </row>
    <row r="234" spans="1:9" x14ac:dyDescent="0.2">
      <c r="A234" s="8"/>
      <c r="B234" s="22"/>
      <c r="C234" s="22"/>
      <c r="D234" s="9"/>
      <c r="E234" s="26"/>
      <c r="F234" s="8"/>
      <c r="G234" s="51"/>
      <c r="H234" s="13"/>
      <c r="I234" s="5"/>
    </row>
    <row r="235" spans="1:9" x14ac:dyDescent="0.2">
      <c r="A235" s="8"/>
      <c r="B235" s="22"/>
      <c r="C235" s="22"/>
      <c r="D235" s="9"/>
      <c r="E235" s="26"/>
      <c r="F235" s="8"/>
      <c r="G235" s="54"/>
      <c r="H235" s="13"/>
      <c r="I235" s="5"/>
    </row>
    <row r="236" spans="1:9" x14ac:dyDescent="0.2">
      <c r="A236" s="17"/>
      <c r="B236" s="23"/>
      <c r="C236" s="23"/>
      <c r="D236" s="9"/>
      <c r="E236" s="17"/>
      <c r="F236" s="75"/>
      <c r="G236" s="52"/>
      <c r="H236" s="13"/>
      <c r="I236" s="3"/>
    </row>
    <row r="237" spans="1:9" x14ac:dyDescent="0.2">
      <c r="A237" s="20"/>
      <c r="B237" s="24"/>
      <c r="C237" s="24"/>
      <c r="D237" s="9"/>
      <c r="E237" s="27"/>
      <c r="F237" s="20"/>
      <c r="G237" s="53"/>
      <c r="H237" s="13"/>
      <c r="I237" s="3"/>
    </row>
    <row r="238" spans="1:9" x14ac:dyDescent="0.2">
      <c r="A238" s="20"/>
      <c r="B238" s="25"/>
      <c r="C238" s="24"/>
      <c r="D238" s="9"/>
      <c r="E238" s="27"/>
      <c r="F238" s="20"/>
      <c r="G238" s="53"/>
      <c r="H238" s="13"/>
      <c r="I238" s="3"/>
    </row>
    <row r="239" spans="1:9" x14ac:dyDescent="0.2">
      <c r="A239" s="20"/>
      <c r="B239" s="25"/>
      <c r="C239" s="21"/>
      <c r="D239" s="9"/>
      <c r="E239" s="27"/>
      <c r="F239" s="20"/>
      <c r="G239" s="53"/>
      <c r="H239" s="13"/>
      <c r="I239" s="3"/>
    </row>
    <row r="240" spans="1:9" x14ac:dyDescent="0.2">
      <c r="A240" s="17"/>
      <c r="B240" s="10"/>
      <c r="C240" s="17"/>
      <c r="D240" s="9"/>
      <c r="E240" s="17"/>
      <c r="F240" s="75"/>
      <c r="G240" s="52"/>
      <c r="H240" s="13"/>
      <c r="I240" s="3"/>
    </row>
    <row r="241" spans="1:9" x14ac:dyDescent="0.2">
      <c r="A241" s="17"/>
      <c r="B241" s="10"/>
      <c r="C241" s="17"/>
      <c r="D241" s="9"/>
      <c r="E241" s="17"/>
      <c r="F241" s="75"/>
      <c r="G241" s="52"/>
      <c r="H241" s="13"/>
      <c r="I241" s="3"/>
    </row>
    <row r="242" spans="1:9" x14ac:dyDescent="0.2">
      <c r="A242" s="19"/>
      <c r="B242" s="11"/>
      <c r="C242" s="11"/>
      <c r="D242" s="32"/>
      <c r="E242" s="33"/>
      <c r="F242" s="74"/>
      <c r="G242" s="49"/>
      <c r="H242" s="12"/>
      <c r="I242" s="3"/>
    </row>
    <row r="243" spans="1:9" x14ac:dyDescent="0.2">
      <c r="A243" s="8"/>
      <c r="F243" s="8"/>
      <c r="G243" s="51"/>
      <c r="H243" s="13"/>
      <c r="I243" s="3"/>
    </row>
    <row r="244" spans="1:9" x14ac:dyDescent="0.2">
      <c r="A244" s="8"/>
      <c r="B244" s="9"/>
      <c r="C244" s="9"/>
      <c r="D244" s="9"/>
      <c r="E244" s="26"/>
      <c r="G244" s="50"/>
      <c r="H244" s="13"/>
    </row>
    <row r="245" spans="1:9" x14ac:dyDescent="0.2">
      <c r="A245" s="8"/>
      <c r="B245" s="9"/>
      <c r="C245" s="9"/>
      <c r="D245" s="9"/>
      <c r="E245" s="26"/>
      <c r="F245" s="8"/>
      <c r="G245" s="51"/>
      <c r="H245" s="13"/>
      <c r="I245" s="32"/>
    </row>
    <row r="246" spans="1:9" x14ac:dyDescent="0.2">
      <c r="A246" s="8"/>
      <c r="B246" s="9"/>
      <c r="C246" s="9"/>
      <c r="D246" s="9"/>
      <c r="E246" s="26"/>
      <c r="F246" s="8"/>
      <c r="G246" s="51"/>
      <c r="H246" s="13"/>
      <c r="I246" s="32"/>
    </row>
    <row r="247" spans="1:9" x14ac:dyDescent="0.2">
      <c r="A247" s="17"/>
      <c r="B247" s="10"/>
      <c r="C247" s="10"/>
      <c r="D247" s="9"/>
      <c r="E247" s="17"/>
      <c r="F247" s="75"/>
      <c r="G247" s="52"/>
      <c r="H247" s="13"/>
      <c r="I247" s="32"/>
    </row>
    <row r="248" spans="1:9" x14ac:dyDescent="0.2">
      <c r="A248" s="8"/>
      <c r="B248" s="9"/>
      <c r="C248" s="9"/>
      <c r="D248" s="9"/>
      <c r="E248" s="26"/>
      <c r="F248" s="8"/>
      <c r="G248" s="51"/>
      <c r="H248" s="13"/>
      <c r="I248" s="5"/>
    </row>
    <row r="249" spans="1:9" x14ac:dyDescent="0.2">
      <c r="A249" s="8"/>
      <c r="B249" s="9"/>
      <c r="C249" s="9"/>
      <c r="D249" s="9"/>
      <c r="E249" s="26"/>
      <c r="F249" s="8"/>
      <c r="G249" s="51"/>
      <c r="H249" s="13"/>
      <c r="I249" s="5"/>
    </row>
    <row r="250" spans="1:9" x14ac:dyDescent="0.2">
      <c r="A250" s="8"/>
      <c r="B250" s="9"/>
      <c r="C250" s="9"/>
      <c r="D250" s="9"/>
      <c r="E250" s="26"/>
      <c r="F250" s="8"/>
      <c r="G250" s="51"/>
      <c r="H250" s="13"/>
      <c r="I250" s="5"/>
    </row>
    <row r="251" spans="1:9" x14ac:dyDescent="0.2">
      <c r="A251" s="8"/>
      <c r="B251" s="9"/>
      <c r="C251" s="9"/>
      <c r="D251" s="9"/>
      <c r="E251" s="26"/>
      <c r="G251" s="50"/>
      <c r="H251" s="13"/>
      <c r="I251" s="5"/>
    </row>
    <row r="252" spans="1:9" x14ac:dyDescent="0.2">
      <c r="A252" s="8"/>
      <c r="B252" s="9"/>
      <c r="C252" s="9"/>
      <c r="D252" s="9"/>
      <c r="E252" s="26"/>
      <c r="G252" s="50"/>
      <c r="H252" s="13"/>
      <c r="I252" s="5"/>
    </row>
    <row r="253" spans="1:9" x14ac:dyDescent="0.2">
      <c r="A253" s="20"/>
      <c r="B253" s="21"/>
      <c r="C253" s="21"/>
      <c r="D253" s="9"/>
      <c r="E253" s="27"/>
      <c r="F253" s="20"/>
      <c r="G253" s="53"/>
      <c r="H253" s="13"/>
      <c r="I253" s="5"/>
    </row>
    <row r="254" spans="1:9" x14ac:dyDescent="0.2">
      <c r="A254" s="20"/>
      <c r="B254" s="21"/>
      <c r="C254" s="21"/>
      <c r="D254" s="9"/>
      <c r="E254" s="27"/>
      <c r="F254" s="20"/>
      <c r="G254" s="53"/>
      <c r="H254" s="13"/>
      <c r="I254" s="5"/>
    </row>
    <row r="255" spans="1:9" x14ac:dyDescent="0.2">
      <c r="A255" s="20"/>
      <c r="B255" s="21"/>
      <c r="C255" s="21"/>
      <c r="D255" s="9"/>
      <c r="E255" s="27"/>
      <c r="F255" s="20"/>
      <c r="G255" s="53"/>
      <c r="H255" s="13"/>
      <c r="I255" s="5"/>
    </row>
    <row r="256" spans="1:9" x14ac:dyDescent="0.2">
      <c r="A256" s="17"/>
      <c r="B256" s="11"/>
      <c r="C256" s="11"/>
      <c r="D256" s="9"/>
      <c r="E256" s="26"/>
      <c r="F256" s="8"/>
      <c r="G256" s="51"/>
      <c r="H256" s="13"/>
      <c r="I256" s="5"/>
    </row>
    <row r="257" spans="1:9" x14ac:dyDescent="0.2">
      <c r="A257" s="8"/>
      <c r="B257" s="21"/>
      <c r="D257" s="9"/>
      <c r="G257" s="50"/>
      <c r="H257" s="14"/>
      <c r="I257" s="5"/>
    </row>
    <row r="258" spans="1:9" x14ac:dyDescent="0.2">
      <c r="A258" s="19"/>
      <c r="B258" s="11"/>
      <c r="C258" s="11"/>
      <c r="D258" s="32"/>
      <c r="E258" s="33"/>
      <c r="F258" s="74"/>
      <c r="G258" s="49"/>
      <c r="H258" s="12"/>
      <c r="I258" s="5"/>
    </row>
    <row r="259" spans="1:9" x14ac:dyDescent="0.2">
      <c r="A259" s="8"/>
      <c r="G259" s="50"/>
      <c r="H259" s="13"/>
      <c r="I259" s="5"/>
    </row>
    <row r="260" spans="1:9" x14ac:dyDescent="0.2">
      <c r="A260" s="8"/>
      <c r="B260" s="9"/>
      <c r="C260" s="9"/>
      <c r="D260" s="9"/>
      <c r="E260" s="26"/>
      <c r="F260" s="8"/>
      <c r="G260" s="51"/>
      <c r="H260" s="13"/>
      <c r="I260" s="5"/>
    </row>
    <row r="261" spans="1:9" x14ac:dyDescent="0.2">
      <c r="A261" s="8"/>
      <c r="B261" s="9"/>
      <c r="C261" s="9"/>
      <c r="D261" s="9"/>
      <c r="E261" s="26"/>
      <c r="F261" s="8"/>
      <c r="G261" s="51"/>
      <c r="H261" s="13"/>
      <c r="I261" s="5"/>
    </row>
    <row r="262" spans="1:9" x14ac:dyDescent="0.2">
      <c r="A262" s="8"/>
      <c r="B262" s="9"/>
      <c r="C262" s="9"/>
      <c r="D262" s="9"/>
      <c r="E262" s="26"/>
      <c r="F262" s="8"/>
      <c r="G262" s="51"/>
      <c r="H262" s="13"/>
      <c r="I262" s="5"/>
    </row>
    <row r="263" spans="1:9" x14ac:dyDescent="0.2">
      <c r="A263" s="17"/>
      <c r="B263" s="10"/>
      <c r="C263" s="10"/>
      <c r="D263" s="9"/>
      <c r="E263" s="17"/>
      <c r="F263" s="75"/>
      <c r="G263" s="52"/>
      <c r="H263" s="13"/>
      <c r="I263" s="5"/>
    </row>
    <row r="264" spans="1:9" x14ac:dyDescent="0.2">
      <c r="A264" s="8"/>
      <c r="B264" s="9"/>
      <c r="C264" s="9"/>
      <c r="D264" s="9"/>
      <c r="E264" s="26"/>
      <c r="F264" s="8"/>
      <c r="G264" s="51"/>
      <c r="H264" s="13"/>
      <c r="I264" s="5"/>
    </row>
    <row r="265" spans="1:9" x14ac:dyDescent="0.2">
      <c r="A265" s="8"/>
      <c r="B265" s="9"/>
      <c r="C265" s="9"/>
      <c r="D265" s="9"/>
      <c r="E265" s="26"/>
      <c r="F265" s="8"/>
      <c r="G265" s="51"/>
      <c r="H265" s="13"/>
      <c r="I265" s="5"/>
    </row>
    <row r="266" spans="1:9" x14ac:dyDescent="0.2">
      <c r="A266" s="8"/>
      <c r="B266" s="9"/>
      <c r="C266" s="9"/>
      <c r="D266" s="9"/>
      <c r="E266" s="26"/>
      <c r="F266" s="8"/>
      <c r="G266" s="51"/>
      <c r="H266" s="13"/>
      <c r="I266" s="5"/>
    </row>
    <row r="267" spans="1:9" x14ac:dyDescent="0.2">
      <c r="A267" s="8"/>
      <c r="B267" s="9"/>
      <c r="C267" s="9"/>
      <c r="D267" s="9"/>
      <c r="E267" s="26"/>
      <c r="G267" s="50"/>
      <c r="H267" s="13"/>
      <c r="I267" s="5"/>
    </row>
    <row r="268" spans="1:9" x14ac:dyDescent="0.2">
      <c r="A268" s="8"/>
      <c r="B268" s="9"/>
      <c r="C268" s="9"/>
      <c r="D268" s="9"/>
      <c r="G268" s="50"/>
      <c r="H268" s="13"/>
      <c r="I268" s="5"/>
    </row>
    <row r="269" spans="1:9" x14ac:dyDescent="0.2">
      <c r="A269" s="20"/>
      <c r="B269" s="21"/>
      <c r="C269" s="21"/>
      <c r="D269" s="9"/>
      <c r="E269" s="27"/>
      <c r="F269" s="20"/>
      <c r="G269" s="53"/>
      <c r="H269" s="13"/>
      <c r="I269" s="5"/>
    </row>
    <row r="270" spans="1:9" x14ac:dyDescent="0.2">
      <c r="A270" s="20"/>
      <c r="B270" s="21"/>
      <c r="C270" s="21"/>
      <c r="D270" s="9"/>
      <c r="E270" s="27"/>
      <c r="F270" s="20"/>
      <c r="G270" s="53"/>
      <c r="H270" s="13"/>
      <c r="I270" s="5"/>
    </row>
    <row r="271" spans="1:9" x14ac:dyDescent="0.2">
      <c r="A271" s="20"/>
      <c r="B271" s="21"/>
      <c r="C271" s="21"/>
      <c r="D271" s="9"/>
      <c r="E271" s="27"/>
      <c r="F271" s="20"/>
      <c r="G271" s="53"/>
      <c r="H271" s="13"/>
      <c r="I271" s="5"/>
    </row>
    <row r="272" spans="1:9" x14ac:dyDescent="0.2">
      <c r="A272" s="8"/>
      <c r="B272" s="21"/>
      <c r="G272" s="50"/>
      <c r="H272" s="13"/>
      <c r="I272" s="5"/>
    </row>
    <row r="273" spans="1:9" x14ac:dyDescent="0.2">
      <c r="A273" s="8"/>
      <c r="B273" s="21"/>
      <c r="G273" s="50"/>
      <c r="H273" s="13"/>
      <c r="I273" s="5"/>
    </row>
    <row r="274" spans="1:9" x14ac:dyDescent="0.2">
      <c r="A274" s="19"/>
      <c r="B274" s="86"/>
      <c r="C274" s="86"/>
      <c r="D274" s="18"/>
      <c r="E274" s="33"/>
      <c r="F274" s="74"/>
      <c r="G274" s="49"/>
      <c r="H274" s="12"/>
      <c r="I274" s="5"/>
    </row>
    <row r="275" spans="1:9" x14ac:dyDescent="0.2">
      <c r="A275" s="8"/>
      <c r="G275" s="50"/>
      <c r="H275" s="13"/>
      <c r="I275" s="5"/>
    </row>
    <row r="276" spans="1:9" x14ac:dyDescent="0.2">
      <c r="A276" s="8"/>
      <c r="B276" s="9"/>
      <c r="C276" s="9"/>
      <c r="D276" s="9"/>
      <c r="E276" s="26"/>
      <c r="F276" s="8"/>
      <c r="G276" s="51"/>
      <c r="H276" s="13"/>
      <c r="I276" s="5"/>
    </row>
    <row r="277" spans="1:9" x14ac:dyDescent="0.2">
      <c r="A277" s="8"/>
      <c r="B277" s="9"/>
      <c r="C277" s="9"/>
      <c r="D277" s="9"/>
      <c r="E277" s="26"/>
      <c r="F277" s="8"/>
      <c r="G277" s="51"/>
      <c r="H277" s="13"/>
      <c r="I277" s="5"/>
    </row>
    <row r="278" spans="1:9" x14ac:dyDescent="0.2">
      <c r="A278" s="8"/>
      <c r="B278" s="9"/>
      <c r="C278" s="9"/>
      <c r="D278" s="9"/>
      <c r="E278" s="26"/>
      <c r="F278" s="8"/>
      <c r="G278" s="51"/>
      <c r="H278" s="13"/>
      <c r="I278" s="3"/>
    </row>
    <row r="279" spans="1:9" x14ac:dyDescent="0.2">
      <c r="A279" s="17"/>
      <c r="B279" s="10"/>
      <c r="C279" s="10"/>
      <c r="D279" s="9"/>
      <c r="E279" s="17"/>
      <c r="F279" s="75"/>
      <c r="G279" s="52"/>
      <c r="H279" s="13"/>
      <c r="I279" s="3"/>
    </row>
    <row r="280" spans="1:9" x14ac:dyDescent="0.2">
      <c r="A280" s="8"/>
      <c r="B280" s="9"/>
      <c r="C280" s="9"/>
      <c r="D280" s="9"/>
      <c r="E280" s="26"/>
      <c r="F280" s="8"/>
      <c r="G280" s="51"/>
      <c r="H280" s="13"/>
      <c r="I280" s="3"/>
    </row>
    <row r="281" spans="1:9" x14ac:dyDescent="0.2">
      <c r="A281" s="8"/>
      <c r="B281" s="9"/>
      <c r="C281" s="9"/>
      <c r="D281" s="9"/>
      <c r="E281" s="26"/>
      <c r="F281" s="8"/>
      <c r="G281" s="51"/>
      <c r="H281" s="13"/>
    </row>
    <row r="282" spans="1:9" x14ac:dyDescent="0.2">
      <c r="A282" s="8"/>
      <c r="B282" s="9"/>
      <c r="C282" s="9"/>
      <c r="D282" s="9"/>
      <c r="E282" s="26"/>
      <c r="F282" s="8"/>
      <c r="G282" s="51"/>
      <c r="H282" s="13"/>
      <c r="I282" s="6"/>
    </row>
    <row r="283" spans="1:9" x14ac:dyDescent="0.2">
      <c r="A283" s="8"/>
      <c r="B283" s="9"/>
      <c r="C283" s="9"/>
      <c r="D283" s="9"/>
      <c r="E283" s="26"/>
      <c r="G283" s="50"/>
      <c r="H283" s="13"/>
      <c r="I283" s="3"/>
    </row>
    <row r="284" spans="1:9" x14ac:dyDescent="0.2">
      <c r="A284" s="8"/>
      <c r="B284" s="9"/>
      <c r="C284" s="9"/>
      <c r="D284" s="9"/>
      <c r="E284" s="26"/>
      <c r="G284" s="50"/>
      <c r="H284" s="13"/>
      <c r="I284" s="3"/>
    </row>
    <row r="285" spans="1:9" x14ac:dyDescent="0.2">
      <c r="A285" s="20"/>
      <c r="B285" s="21"/>
      <c r="C285" s="21"/>
      <c r="D285" s="9"/>
      <c r="E285" s="27"/>
      <c r="F285" s="20"/>
      <c r="G285" s="53"/>
      <c r="H285" s="13"/>
      <c r="I285" s="3"/>
    </row>
    <row r="286" spans="1:9" x14ac:dyDescent="0.2">
      <c r="A286" s="20"/>
      <c r="B286" s="21"/>
      <c r="C286" s="21"/>
      <c r="D286" s="9"/>
      <c r="E286" s="27"/>
      <c r="F286" s="20"/>
      <c r="G286" s="53"/>
      <c r="H286" s="13"/>
      <c r="I286" s="3"/>
    </row>
    <row r="287" spans="1:9" x14ac:dyDescent="0.2">
      <c r="A287" s="20"/>
      <c r="B287" s="21"/>
      <c r="C287" s="21"/>
      <c r="D287" s="9"/>
      <c r="E287" s="27"/>
      <c r="F287" s="20"/>
      <c r="G287" s="53"/>
      <c r="H287" s="13"/>
      <c r="I287" s="3"/>
    </row>
    <row r="288" spans="1:9" x14ac:dyDescent="0.2">
      <c r="A288" s="8"/>
      <c r="B288" s="21"/>
      <c r="C288" s="9"/>
      <c r="D288" s="9"/>
      <c r="E288" s="26"/>
      <c r="G288" s="50"/>
      <c r="H288" s="13"/>
      <c r="I288" s="3"/>
    </row>
    <row r="289" spans="1:9" x14ac:dyDescent="0.2">
      <c r="A289" s="8"/>
      <c r="B289" s="21"/>
      <c r="C289" s="9"/>
      <c r="D289" s="9"/>
      <c r="G289" s="50"/>
      <c r="H289" s="13"/>
      <c r="I289" s="3"/>
    </row>
    <row r="290" spans="1:9" x14ac:dyDescent="0.2">
      <c r="A290" s="19"/>
      <c r="B290" s="86"/>
      <c r="C290" s="86"/>
      <c r="D290" s="18"/>
      <c r="E290" s="33"/>
      <c r="F290" s="74"/>
      <c r="G290" s="49"/>
      <c r="H290" s="12"/>
      <c r="I290" s="3"/>
    </row>
    <row r="291" spans="1:9" x14ac:dyDescent="0.2">
      <c r="A291" s="8"/>
      <c r="B291" s="9"/>
      <c r="G291" s="50"/>
      <c r="H291" s="13"/>
      <c r="I291" s="3"/>
    </row>
    <row r="292" spans="1:9" x14ac:dyDescent="0.2">
      <c r="A292" s="8"/>
      <c r="C292" s="9"/>
      <c r="D292" s="9"/>
      <c r="E292" s="26"/>
      <c r="F292" s="8"/>
      <c r="G292" s="51"/>
      <c r="H292" s="13"/>
      <c r="I292" s="3"/>
    </row>
    <row r="293" spans="1:9" x14ac:dyDescent="0.2">
      <c r="A293" s="8"/>
      <c r="B293" s="9"/>
      <c r="C293" s="9"/>
      <c r="D293" s="9"/>
      <c r="E293" s="26"/>
      <c r="F293" s="8"/>
      <c r="G293" s="51"/>
      <c r="H293" s="13"/>
      <c r="I293" s="3"/>
    </row>
    <row r="294" spans="1:9" x14ac:dyDescent="0.2">
      <c r="A294" s="8"/>
      <c r="B294" s="9"/>
      <c r="C294" s="9"/>
      <c r="D294" s="9"/>
      <c r="F294" s="8"/>
      <c r="G294" s="55"/>
      <c r="H294" s="13"/>
      <c r="I294" s="3"/>
    </row>
    <row r="295" spans="1:9" x14ac:dyDescent="0.2">
      <c r="A295" s="17"/>
      <c r="B295" s="10"/>
      <c r="C295" s="10"/>
      <c r="D295" s="9"/>
      <c r="E295" s="26"/>
      <c r="F295" s="75"/>
      <c r="G295" s="52"/>
      <c r="H295" s="13"/>
      <c r="I295" s="3"/>
    </row>
    <row r="296" spans="1:9" x14ac:dyDescent="0.2">
      <c r="A296" s="8"/>
      <c r="B296" s="9"/>
      <c r="C296" s="9"/>
      <c r="D296" s="9"/>
      <c r="E296" s="26"/>
      <c r="F296" s="8"/>
      <c r="G296" s="55"/>
      <c r="H296" s="13"/>
      <c r="I296" s="3"/>
    </row>
    <row r="297" spans="1:9" x14ac:dyDescent="0.2">
      <c r="A297" s="8"/>
      <c r="B297" s="9"/>
      <c r="C297" s="9"/>
      <c r="D297" s="9"/>
      <c r="E297" s="26"/>
      <c r="F297" s="8"/>
      <c r="G297" s="55"/>
      <c r="H297" s="13"/>
      <c r="I297" s="3"/>
    </row>
    <row r="298" spans="1:9" x14ac:dyDescent="0.2">
      <c r="A298" s="4"/>
      <c r="B298" s="9"/>
      <c r="C298" s="9"/>
      <c r="D298" s="9"/>
      <c r="E298" s="26"/>
      <c r="G298" s="56"/>
      <c r="H298" s="13"/>
      <c r="I298" s="3"/>
    </row>
    <row r="299" spans="1:9" x14ac:dyDescent="0.2">
      <c r="A299" s="4"/>
      <c r="B299" s="9"/>
      <c r="C299" s="9"/>
      <c r="D299" s="9"/>
      <c r="E299" s="26"/>
      <c r="G299" s="56"/>
      <c r="H299" s="13"/>
      <c r="I299" s="3"/>
    </row>
    <row r="300" spans="1:9" x14ac:dyDescent="0.2">
      <c r="A300" s="4"/>
      <c r="B300" s="9"/>
      <c r="C300" s="9"/>
      <c r="D300" s="9"/>
      <c r="E300" s="26"/>
      <c r="G300" s="56"/>
      <c r="H300" s="13"/>
      <c r="I300" s="3"/>
    </row>
    <row r="301" spans="1:9" x14ac:dyDescent="0.2">
      <c r="A301" s="20"/>
      <c r="B301" s="21"/>
      <c r="C301" s="21"/>
      <c r="D301" s="9"/>
      <c r="E301" s="27"/>
      <c r="F301" s="20"/>
      <c r="G301" s="57"/>
      <c r="H301" s="13"/>
      <c r="I301" s="3"/>
    </row>
    <row r="302" spans="1:9" x14ac:dyDescent="0.2">
      <c r="A302" s="20"/>
      <c r="B302" s="21"/>
      <c r="C302" s="21"/>
      <c r="D302" s="9"/>
      <c r="E302" s="27"/>
      <c r="F302" s="20"/>
      <c r="G302" s="57"/>
      <c r="H302" s="13"/>
      <c r="I302" s="3"/>
    </row>
    <row r="303" spans="1:9" x14ac:dyDescent="0.2">
      <c r="A303" s="20"/>
      <c r="B303" s="21"/>
      <c r="C303" s="21"/>
      <c r="D303" s="9"/>
      <c r="E303" s="27"/>
      <c r="F303" s="20"/>
      <c r="G303" s="57"/>
      <c r="H303" s="13"/>
      <c r="I303" s="3"/>
    </row>
    <row r="304" spans="1:9" x14ac:dyDescent="0.2">
      <c r="A304" s="4"/>
      <c r="B304" s="21"/>
      <c r="D304" s="9"/>
      <c r="E304" s="27"/>
      <c r="G304" s="56"/>
      <c r="H304" s="3"/>
      <c r="I304" s="3"/>
    </row>
    <row r="305" spans="1:9" x14ac:dyDescent="0.2">
      <c r="A305" s="4"/>
      <c r="B305" s="21"/>
      <c r="D305" s="9"/>
      <c r="E305" s="27"/>
      <c r="G305" s="56"/>
      <c r="H305" s="3"/>
      <c r="I305" s="3"/>
    </row>
    <row r="306" spans="1:9" x14ac:dyDescent="0.2">
      <c r="A306" s="4"/>
      <c r="H306" s="3"/>
      <c r="I306" s="3"/>
    </row>
  </sheetData>
  <mergeCells count="23">
    <mergeCell ref="B64:C64"/>
    <mergeCell ref="B71:C71"/>
    <mergeCell ref="B85:C85"/>
    <mergeCell ref="B92:C92"/>
    <mergeCell ref="B99:C99"/>
    <mergeCell ref="B36:C36"/>
    <mergeCell ref="B43:C43"/>
    <mergeCell ref="B50:C50"/>
    <mergeCell ref="B57:C57"/>
    <mergeCell ref="B1:C1"/>
    <mergeCell ref="B8:C8"/>
    <mergeCell ref="B15:C15"/>
    <mergeCell ref="B22:C22"/>
    <mergeCell ref="B29:C29"/>
    <mergeCell ref="B274:C274"/>
    <mergeCell ref="B290:C290"/>
    <mergeCell ref="B78:C78"/>
    <mergeCell ref="B106:C106"/>
    <mergeCell ref="B113:C113"/>
    <mergeCell ref="B120:C120"/>
    <mergeCell ref="B127:C127"/>
    <mergeCell ref="B134:C134"/>
    <mergeCell ref="B141:C1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2022-09-26T20:43:55Z</dcterms:modified>
</cp:coreProperties>
</file>